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0"/>
  </bookViews>
  <sheets>
    <sheet name="2016 по разделам" sheetId="1" r:id="rId1"/>
    <sheet name="2016 г.вед" sheetId="2" r:id="rId2"/>
  </sheets>
  <definedNames>
    <definedName name="_xlnm._FilterDatabase" localSheetId="1" hidden="1">'2016 г.вед'!$A$11:$H$11</definedName>
  </definedNames>
  <calcPr fullCalcOnLoad="1"/>
</workbook>
</file>

<file path=xl/sharedStrings.xml><?xml version="1.0" encoding="utf-8"?>
<sst xmlns="http://schemas.openxmlformats.org/spreadsheetml/2006/main" count="5295" uniqueCount="818">
  <si>
    <t>Наименование</t>
  </si>
  <si>
    <t>Коды</t>
  </si>
  <si>
    <t>Мин.</t>
  </si>
  <si>
    <t>Рз.</t>
  </si>
  <si>
    <t>ЦСт.</t>
  </si>
  <si>
    <t>ВРв.</t>
  </si>
  <si>
    <t>Сумма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</si>
  <si>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</si>
  <si>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</si>
  <si>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</si>
  <si>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</si>
  <si>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</si>
  <si>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</si>
  <si>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06</t>
  </si>
  <si>
    <t>Обслуживание государственного и муниципального долга</t>
  </si>
  <si>
    <t>12</t>
  </si>
  <si>
    <t>Резервные фонды</t>
  </si>
  <si>
    <t>Другие общегосударственные вопросы</t>
  </si>
  <si>
    <t>02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</si>
  <si>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</si>
  <si>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</si>
  <si>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</si>
  <si>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</si>
  <si>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</si>
  <si>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</si>
  <si>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</si>
  <si>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</si>
  <si>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</si>
  <si>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</si>
  <si>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</si>
  <si>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</si>
  <si>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</si>
  <si>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</si>
  <si>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</si>
  <si>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</si>
  <si>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</si>
  <si>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</si>
  <si>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</si>
  <si>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Рз</t>
  </si>
  <si>
    <t>Пр</t>
  </si>
  <si>
    <t>ПР.</t>
  </si>
  <si>
    <t>Другие вопросы в области жилищно-коммунального хозяйства</t>
  </si>
  <si>
    <t>городского Совета депутатов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</si>
  <si>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</si>
  <si>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</si>
  <si>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</si>
  <si>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Лесное хозяйство</t>
  </si>
  <si>
    <t>Благоустройство</t>
  </si>
  <si>
    <t>11</t>
  </si>
  <si>
    <t>Другие вопросы в области национальной экономики</t>
  </si>
  <si>
    <t>всего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</si>
  <si>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</si>
  <si>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</si>
  <si>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013</t>
  </si>
  <si>
    <t>Дорожное хозяйство</t>
  </si>
  <si>
    <t>Функционирование высшего должностного лица субъекта РФ и муниципального образования</t>
  </si>
  <si>
    <t>Обеспечение деятельности финансовых, налоговых и таможенных органов и органов финансового надзора</t>
  </si>
  <si>
    <t>012</t>
  </si>
  <si>
    <t>Охрана семьи и детства</t>
  </si>
  <si>
    <t>011</t>
  </si>
  <si>
    <t>Исполнительно-распорядительный орган местного самоуправления - администрация города Горно-Алтайска</t>
  </si>
  <si>
    <t>Выборный представительный орган местного самоуправления - Горно-Алтайский городской Совет депутатов</t>
  </si>
  <si>
    <t>Муниципальное учреждение "Отдел культуры Администрации города Горно-Алтайска"</t>
  </si>
  <si>
    <t>Муниципальное учреждение "Управление образования администрации МО города Горно-Алтайска"</t>
  </si>
  <si>
    <t>Муниципальное учреждение "Управление коммунального хозяйства администрации города Горно-Алтайска"</t>
  </si>
  <si>
    <t>Муниципальное учреждение "Управление по имуществу и земельным отношениям города Горно-Алтайска"</t>
  </si>
  <si>
    <t>Муниципальное учреждение "Управление архитектуры и градостроительства администрации города Горно-Алтайска"</t>
  </si>
  <si>
    <t>Горно-Алтайского</t>
  </si>
  <si>
    <t>изменения</t>
  </si>
  <si>
    <t>Обеспечение проведения выборов и референдумов</t>
  </si>
  <si>
    <t>13</t>
  </si>
  <si>
    <t>Физическая культура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</si>
  <si>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</si>
  <si>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</si>
  <si>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</si>
  <si>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(финансово-бюджетного) надзора</t>
  </si>
  <si>
    <t>Культура и кинематография</t>
  </si>
  <si>
    <t>Физическая культура и спорт</t>
  </si>
  <si>
    <t>Средства массовой информации</t>
  </si>
  <si>
    <t xml:space="preserve">Культура и кинематография </t>
  </si>
  <si>
    <t>условно утверждаемые расходы</t>
  </si>
  <si>
    <t>120</t>
  </si>
  <si>
    <t>Расходы на выплаты персоналу органов местного самоуправления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</si>
  <si>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</si>
  <si>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</si>
  <si>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</si>
  <si>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</si>
  <si>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240</t>
  </si>
  <si>
    <t>Иные закупки товаров, работ и услуг для государственных нужд</t>
  </si>
  <si>
    <t>242</t>
  </si>
  <si>
    <t>244</t>
  </si>
  <si>
    <t>Прочая закупка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</si>
  <si>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</si>
  <si>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</si>
  <si>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</si>
  <si>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</si>
  <si>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</si>
  <si>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</si>
  <si>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870</t>
  </si>
  <si>
    <t>Резервные средства</t>
  </si>
  <si>
    <t>610</t>
  </si>
  <si>
    <t>611</t>
  </si>
  <si>
    <t>Субсидии бюджетным учреждениям</t>
  </si>
  <si>
    <t>320</t>
  </si>
  <si>
    <t>321</t>
  </si>
  <si>
    <t>Социальные выплаты гражданам, кроме публичных нормативных социальных выплат</t>
  </si>
  <si>
    <t>322</t>
  </si>
  <si>
    <t>Субсидии гражданам на приобретение жилья</t>
  </si>
  <si>
    <t>360</t>
  </si>
  <si>
    <t>Иные выплаты населению</t>
  </si>
  <si>
    <t>810</t>
  </si>
  <si>
    <t>Обслуживание муниципального долга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</si>
  <si>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</si>
  <si>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</si>
  <si>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</si>
  <si>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</si>
  <si>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 xml:space="preserve">Субсидии бюджетным учреждениям на иные цели </t>
  </si>
  <si>
    <t>014</t>
  </si>
  <si>
    <t>015</t>
  </si>
  <si>
    <t>016</t>
  </si>
  <si>
    <t>017</t>
  </si>
  <si>
    <t>018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</si>
  <si>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</si>
  <si>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243</t>
  </si>
  <si>
    <t>Закупка товаров, работ, услуг в целях капитального ремонта муниципального имущества</t>
  </si>
  <si>
    <t>622</t>
  </si>
  <si>
    <t xml:space="preserve">Субсидии автономным учреждениям на иные цели </t>
  </si>
  <si>
    <t>123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</si>
  <si>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</si>
  <si>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019</t>
  </si>
  <si>
    <t>Контрольно-счетная палата города Горно-Алтайска</t>
  </si>
  <si>
    <t>110</t>
  </si>
  <si>
    <t>111</t>
  </si>
  <si>
    <t>Расходы на выплаты персоналу казенных учреждений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</si>
  <si>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</si>
  <si>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</t>
  </si>
  <si>
    <t>112</t>
  </si>
  <si>
    <t>Расходы на выплаты персоналу муниципальных органов</t>
  </si>
  <si>
    <t>Иные выплаты персоналу муниципальных органов, за исключением фонда оплаты труда</t>
  </si>
  <si>
    <t>Иные закупки товаров, работ и услуг для обеспечения муниципальных нужд нужд</t>
  </si>
  <si>
    <t>Прочая закупка товаров, работ и услуг для обеспечения муниципальных нужд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</si>
  <si>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</si>
  <si>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 Исполнительно-распорядительного органа местного самоуправления - администрации города Горно-Алтайска</t>
  </si>
  <si>
    <t>Материально-техническое обеспечение Администрации города Горно-Алтайска</t>
  </si>
  <si>
    <t>Повышение квалификации работников Администрации города Горно-Алтайска</t>
  </si>
  <si>
    <t>Бюджетные инвестиции в объекты капитального строительства муниципальной собственности</t>
  </si>
  <si>
    <t>414</t>
  </si>
  <si>
    <t>Доплаты к пенсиям муниципальных служащих</t>
  </si>
  <si>
    <t>Материально-техническое обеспечение Контрольно-счетной палаты города Горно-Алтайска</t>
  </si>
  <si>
    <t>Повышение квалификации работников Контрольно-счетной палаты города Горно-Алтайска</t>
  </si>
  <si>
    <t>Непрограммные направления деятельности Выборного представительного органа местного самоуправления - Горно-Алтайского городского Совета депутатов</t>
  </si>
  <si>
    <t>Материально-техническое обеспечение Выборного представительного органа местного самоуправления - Горно-Алтайского городского Совета депутатов</t>
  </si>
  <si>
    <t xml:space="preserve">Иные закупки товаров, работ и услуг для обеспечения муниципальных нужд </t>
  </si>
  <si>
    <t>412</t>
  </si>
  <si>
    <t>Осуществление отдельных полномочий в области лесных отношений</t>
  </si>
  <si>
    <t>730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</si>
  <si>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</si>
  <si>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Премии и гранты</t>
  </si>
  <si>
    <t>350</t>
  </si>
  <si>
    <t>113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</si>
  <si>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</si>
  <si>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</si>
  <si>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Водное хозяйство</t>
  </si>
  <si>
    <t>313</t>
  </si>
  <si>
    <t>Прочие расходы Администрации, не относящиеся к расходам на Материально-техническое обеспечение Администрации города Горно-Алтайска</t>
  </si>
  <si>
    <t>Прочие расходы Выборного представительного органа местного самоуправления - Горно-Алтайского городского Совета депутатов не относящиеся к расходам на Материально-техническое обеспечение Выборного представительного органа местного самоуправления - Горно-Алтайского городского Совета</t>
  </si>
  <si>
    <t>Пособия, компенсации, меры социальной поддержки по публичным нормативным обязательствам</t>
  </si>
  <si>
    <t>Транспорт</t>
  </si>
  <si>
    <t>312</t>
  </si>
  <si>
    <t xml:space="preserve">Иные пенсии, социальные доплаты к пенсиям
</t>
  </si>
  <si>
    <t>Приложение №  3 к решению</t>
  </si>
  <si>
    <t>Муниципальное Учреждение "Финансовое Управление администрации муниципального образования города Горно-Алтайска"</t>
  </si>
  <si>
    <t xml:space="preserve">исполнено </t>
  </si>
  <si>
    <t>процент исполнения</t>
  </si>
  <si>
    <t xml:space="preserve">утверждено </t>
  </si>
  <si>
    <t>утверждено</t>
  </si>
  <si>
    <t>исполнено</t>
  </si>
  <si>
    <t>Приложение № 4  к решению</t>
  </si>
  <si>
    <t>Судебная система</t>
  </si>
  <si>
    <t>тыс. рублей</t>
  </si>
  <si>
    <t xml:space="preserve">от                      2017 г. №  </t>
  </si>
  <si>
    <t>Ведомственная структура расходов городского бюджета на 2016 год</t>
  </si>
  <si>
    <t>Распределение расходов городского бюджета на 2016 год по разделам и подразделам классификации расходов</t>
  </si>
  <si>
    <t>Муниципальная программа муниципального образования «Город Горно-Алтайск» «Устойчивое территориальное развитие в муниципальном образовании «Город Горно-Алтайск» на 2014 - 2019 годы»</t>
  </si>
  <si>
    <t>04 0 00 00000</t>
  </si>
  <si>
    <t xml:space="preserve">Повышение эффективности управления в Муниципальном учреждении «Управление архитектуры и градостроительства администрации города Горно-Алтайска»  </t>
  </si>
  <si>
    <t>04 0 01 11000</t>
  </si>
  <si>
    <t xml:space="preserve">Материально-техническое обеспечение  в Муниципальном учреждении «Управление архитектуры и градостроительства администрации города Горно-Алтайска»  </t>
  </si>
  <si>
    <t>04 0 А1 11100</t>
  </si>
  <si>
    <t xml:space="preserve">Расходы на выплаты по оплате труда работников в Муниципальном учреждении «Управление архитектуры и градостроительства администрации города Горно-Алтайска»  </t>
  </si>
  <si>
    <t>04 0 А1 11110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</si>
  <si>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</si>
  <si>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</si>
  <si>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</si>
  <si>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 xml:space="preserve">Расходы на обеспечение функций в Муниципальном учреждении «Управление архитектуры и градостроительства администрации города Горно-Алтайска»  </t>
  </si>
  <si>
    <t>04 0 А1 11190</t>
  </si>
  <si>
    <t>Уплата прочих налогов, сборов</t>
  </si>
  <si>
    <t xml:space="preserve">Расходы на повышение квалификации работников в Муниципальном учреждении «Управление архитектуры и градостроительства администрации города Горно-Алтайска»  </t>
  </si>
  <si>
    <t>04 0 П1 11000</t>
  </si>
  <si>
    <t xml:space="preserve">Подпрограмма «Повышение качества градостроительной политики в муниципальном образовании «Город Горно-Алтайск» на 2014-2019 годы» </t>
  </si>
  <si>
    <t>04 1 00 00000</t>
  </si>
  <si>
    <t xml:space="preserve">Эффективное территориальное планирование муниципального образования «Город Горно-Алтайск» </t>
  </si>
  <si>
    <t>04 1 01 00000</t>
  </si>
  <si>
    <t>Расходы на создание малых архитектурных форм  в муниципальном образовании «Город Горно-Алтайск»</t>
  </si>
  <si>
    <t>04 1 01 00002</t>
  </si>
  <si>
    <t>Расходы на территориальное развитие  в муниципальном образовании «Город Горно-Алтайск»</t>
  </si>
  <si>
    <t>04 1 01 00001</t>
  </si>
  <si>
    <t xml:space="preserve">Расходы на компенсационные выплаты неработающим пенсионерам в Муниципальном учреждении «Управление архитектуры и градостроительства города Горно-Алтайска» </t>
  </si>
  <si>
    <t>04 0 С1 11000</t>
  </si>
  <si>
    <t>99 0 00 12000</t>
  </si>
  <si>
    <t>99 0 00 12001</t>
  </si>
  <si>
    <t>Основное мероприятие «Создание условий для возможности улучшения жилищных условий населения, проживающего на территории Республики Алтай»</t>
  </si>
  <si>
    <t>02 1 02 00000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</si>
  <si>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</si>
  <si>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02 1 02 41100</t>
  </si>
  <si>
    <t>Прочая закупка товаров, работ и услуг для муниципальных нужд</t>
  </si>
  <si>
    <t>Основное мероприятие «Создание условий для снижения рисков производственного травматизма и заболеваемости работников организаций на территории Республики Алтай»</t>
  </si>
  <si>
    <t>05 6 02 00000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</si>
  <si>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</si>
  <si>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05 6 02 43400</t>
  </si>
  <si>
    <t>Основное мероприятие «Повышение эффективности государственного управления в Министерстве образования и науки Республики Алтай»</t>
  </si>
  <si>
    <t>07 7 01 00000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</si>
  <si>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</si>
  <si>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07 7 01 45500</t>
  </si>
  <si>
    <t>Основное мероприятие "Обеспечение полномочий в области архивного дела органами местного самоуправления в Республике Алтай"</t>
  </si>
  <si>
    <t>08 1 02 00000</t>
  </si>
  <si>
    <t xml:space="preserve">Субвенции на обеспечение полномочий в области архивного дела  </t>
  </si>
  <si>
    <t>08 1 02 44900</t>
  </si>
  <si>
    <t>99 0 А0 12100</t>
  </si>
  <si>
    <t>Расходы на выплаты по оплате труда работников Администрации города Горно-Алтайска</t>
  </si>
  <si>
    <t>99 0 А0 12110</t>
  </si>
  <si>
    <t>Расходы на обеспечение функций  Администрации города Горно-Алтайска</t>
  </si>
  <si>
    <t>99 0 А0 12190</t>
  </si>
  <si>
    <t xml:space="preserve">Уплата прочих налогов, сборов </t>
  </si>
  <si>
    <t>99 0 П0 12000</t>
  </si>
  <si>
    <t>Иные закупки товаров, работ и услуг для муниципальных нужд</t>
  </si>
  <si>
    <t>Основное мероприятие «Повышение результативности  предоставления межбюджетных трансфертов муниципальным образованиям в Республике Алтай»</t>
  </si>
  <si>
    <t>11 1 02 00000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</si>
  <si>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</si>
  <si>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11 1 02 51200</t>
  </si>
  <si>
    <t>Резервный фонд Администрации города Горно-Алтайска</t>
  </si>
  <si>
    <t>99 0 00 Р1000</t>
  </si>
  <si>
    <t>Муниципальная программа муниципального образования «Город Горно-Алтайск» «Экономическое развитие в муниципальном образовании «Город Горно-Алтайск» на 2014 - 2019 годы»</t>
  </si>
  <si>
    <t>01 0 00 00000</t>
  </si>
  <si>
    <r>
      <t>Подпрограмма «</t>
    </r>
    <r>
      <rPr>
        <sz val="12"/>
        <color indexed="8"/>
        <rFont val="Times New Roman"/>
        <family val="1"/>
      </rPr>
      <t>Развитие предпринимательства в муниципальном образовании  «Город Горно-Алтайск» на 2014-2019 годы</t>
    </r>
  </si>
  <si>
    <t>01 1 00 00000</t>
  </si>
  <si>
    <t xml:space="preserve">Перспективная территориальная организация и развитие внутреннего и въездного туризма </t>
  </si>
  <si>
    <t>01 1 02 00000</t>
  </si>
  <si>
    <t>Проведение Всероссийской сельскохозяйственной переписи в 2016 году</t>
  </si>
  <si>
    <t>01 2 01 53910</t>
  </si>
  <si>
    <t>Основное мероприятие «Совершенствование системы комплексного планирования и содействие проведению социально-экономических реформ»</t>
  </si>
  <si>
    <t>04 2 01 00000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</si>
  <si>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</si>
  <si>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04 2 01 42900</t>
  </si>
  <si>
    <t>Приобретение бланков "Карта маршрута регулярных перевозок" и бланков "Свидетельство об осуществлении перевозок по маршруту регулярных перевозок"</t>
  </si>
  <si>
    <t>08 1 03 00002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</si>
  <si>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</si>
  <si>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11 1 02 45300</t>
  </si>
  <si>
    <t>Муниципальная программа муниципального образования «Город Горно-Алтайск» «Комплексное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2014 - 2019 годы»</t>
  </si>
  <si>
    <t>12 0 00 00000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</si>
  <si>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 на 2014 - 2019 годы»</t>
  </si>
  <si>
    <t>12 1 00 00000</t>
  </si>
  <si>
    <t>Капитальный ремонт прочих объектов муниципальной собственности в городе Горно-Алтайске</t>
  </si>
  <si>
    <t>12 1 01 00003</t>
  </si>
  <si>
    <t>Освещение деятельности органов местного самоуправления в средствах массовой информации (имиджевые мероприятия)</t>
  </si>
  <si>
    <t>99 0 00 12Ж00</t>
  </si>
  <si>
    <t>99 0 Я0 12000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</si>
  <si>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</si>
  <si>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</si>
  <si>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</si>
  <si>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иных платежей</t>
  </si>
  <si>
    <t>853</t>
  </si>
  <si>
    <t>Материально-техническое обеспечение Муниципального казенного учреждения города Горно-Алтайска «По делам ГОЧС и единая дежурно-диспетчерская служба МО «Город Горно-Алтайск»</t>
  </si>
  <si>
    <t>99 0 Ч0 12100</t>
  </si>
  <si>
    <t>Расходы на выплаты по оплате труда работников Муниципального казенного учреждения города Горно-Алтайска «По делам ГОЧС и единая дежурно-диспетчерская служба МО «Город Горно-Алтайск»</t>
  </si>
  <si>
    <t>99 0 Ч0 12110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</si>
  <si>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</si>
  <si>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</si>
  <si>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</si>
  <si>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</si>
  <si>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обеспечение функций  Муниципального казенного учреждения города Горно-Алтайска «По делам ГОЧС и единая дежурно-диспетчерская служба МО «Город Горно-Алтайск»</t>
  </si>
  <si>
    <t>99 0 Ч0 12190</t>
  </si>
  <si>
    <t xml:space="preserve">Подпрограмма «Развитие водохозяйственного комплекса» государственной  программы Республики Алтай «Обеспечение экологической безопасности и улучшение состояния окружающей среды» </t>
  </si>
  <si>
    <t>06 3 00 00000</t>
  </si>
  <si>
    <t>Основное мероприятие «Охрана водных объектов Республики Алтай»</t>
  </si>
  <si>
    <t>06 3 01 00000</t>
  </si>
  <si>
    <t>Мероприятия федеральной целевой программы "Развитие водохозяйственного комплекса Российской Федерации в 2012 - 2020 годах" (капитальные вложения в объекты муниципальной собственности)</t>
  </si>
  <si>
    <t>06 3 01 5016П</t>
  </si>
  <si>
    <t>Софинансирование расходов на реализацию мероприятий ФЦП "Развитие водохозяйственного комплекса Российской Федерации в 2012 - 2020 годах" в части предоставления софинансирования капитальных вложений в объекты муниципальной собственности</t>
  </si>
  <si>
    <t>06 3 01 R128П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</si>
  <si>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на 2014 - 2019 годы»</t>
  </si>
  <si>
    <t>Строительство и реконструкция прочих объектов муниципальной собственности в городе Горно-Алтайске</t>
  </si>
  <si>
    <t>12 1 01 000А1</t>
  </si>
  <si>
    <t>Строительство и реконструкция автомобильных дорог в городе Горно-Алтайске</t>
  </si>
  <si>
    <t>12 1 01 000Д1</t>
  </si>
  <si>
    <t>Расходы на проектно-изыскательские работы объектов строительства и капитального ремонта автомобильных дорог</t>
  </si>
  <si>
    <t>12 1 01 000Д2</t>
  </si>
  <si>
    <t>Капитальный ремонт и ремонт автомобильных дорог в городе Горно-Алтайске</t>
  </si>
  <si>
    <t>12 1 01 000Д3</t>
  </si>
  <si>
    <t>Подпрограмма «Развитие предпринимательства в муниципальном образовании  «Город Горно-Алтайск» на 2014-2019 годы</t>
  </si>
  <si>
    <t xml:space="preserve">Развитие малого и среднего предпринимательства в муниципальном образовании «Город Горно-Алтайск» </t>
  </si>
  <si>
    <t>01 1 01 00000</t>
  </si>
  <si>
    <t xml:space="preserve">Расходы на грантовую поддержку начинающих предпринимателей </t>
  </si>
  <si>
    <t>01 1 01 00001</t>
  </si>
  <si>
    <t xml:space="preserve">Расходы на возмещение части затрат субъектов малого и среднего предпринимательства на уплату процентов по кредитам, привлеченным в российских кредитных организациях </t>
  </si>
  <si>
    <t>01 1 01 00002</t>
  </si>
  <si>
    <t xml:space="preserve">Расходы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 </t>
  </si>
  <si>
    <t>01 1 01 00003</t>
  </si>
  <si>
    <t xml:space="preserve">Расходы на проведение мероприятий в рамках поддержки  и развития малого и среднего предпринимательства </t>
  </si>
  <si>
    <t>01 1 01 00004</t>
  </si>
  <si>
    <t xml:space="preserve">Расходы на возмещение части затрат на приобретение оборудования по договорам лизинга </t>
  </si>
  <si>
    <t>01 1 01 00005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</si>
  <si>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</t>
  </si>
  <si>
    <t>04 1 02 50641</t>
  </si>
  <si>
    <t xml:space="preserve">Повышение эффективности муниципального управления в муниципальном учреждении «Управление капитального строительства города Горно-Алтайска» </t>
  </si>
  <si>
    <t>12 0 01 12000</t>
  </si>
  <si>
    <t xml:space="preserve">Материально-техническое обеспечение муниципального учреждения «Управление капитального строительства города Горно-Алтайска» </t>
  </si>
  <si>
    <t>12 0 К1 12100</t>
  </si>
  <si>
    <t xml:space="preserve">Расходы на выплаты по оплате труда работников Муниципального учреждения  «Управление капитального строительства города Горно-Алтайска» </t>
  </si>
  <si>
    <t>12 0 К1 12110</t>
  </si>
  <si>
    <t xml:space="preserve">Расходы на обеспечение функций Муниципального учреждения  «Управление капитального строительства города Горно-Алтайска» </t>
  </si>
  <si>
    <t>12 0 К1 12190</t>
  </si>
  <si>
    <t>Основное мероприятие «Улучшение условий для жизни населения Республики Алтай, проживающего в многоквартирном жилом фонде»</t>
  </si>
  <si>
    <t>02 1 08 00000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</si>
  <si>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  </t>
  </si>
  <si>
    <t>02 1 08 09502</t>
  </si>
  <si>
    <t>Бюджетные инвестиции на приобретение объектов недвижимого имущества в муниципальную собственность</t>
  </si>
  <si>
    <t>02 1 08 09602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</si>
  <si>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2014 - 2019 годы»</t>
  </si>
  <si>
    <t>09 0 00 00000</t>
  </si>
  <si>
    <t>Подпрограмма «Улучшение жилищных условий граждан в муниципальном образовании «Город Горно-Алтайск» на 2014 - 2019 годы»</t>
  </si>
  <si>
    <t>09 1 00 00000</t>
  </si>
  <si>
    <t xml:space="preserve">Расходы на проведение капитального ремонта многоквартирных жилых домов в муниципальном образовании «Город Горно-Алтайск» </t>
  </si>
  <si>
    <t>09 1 01 S9601</t>
  </si>
  <si>
    <t>Субсидии на обеспечение мероприятий по переселению граждан из аварийного жилищного фонда за счет средств фонда реформирования ЖКХ</t>
  </si>
  <si>
    <t>09 1 02 09502</t>
  </si>
  <si>
    <t xml:space="preserve">Переселение граждан из аварийного жилищного фонда в муниципальном образовании «Город Горно-Алтайск» </t>
  </si>
  <si>
    <t>09 1 02 S9602</t>
  </si>
  <si>
    <t>Основное мероприятие «Развитие энергосбережения и повышение энергетической эффективности в коммунальном хозяйстве, жилищной сфере и социальной сфере Республики Алтай»</t>
  </si>
  <si>
    <t>02 1 04 00000</t>
  </si>
  <si>
    <t xml:space="preserve">Субсидии на проведение мероприятий по газификации  </t>
  </si>
  <si>
    <t>02 1 04 41200</t>
  </si>
  <si>
    <t xml:space="preserve"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</t>
  </si>
  <si>
    <t>02 1 04 41300</t>
  </si>
  <si>
    <t>Подпрограмма «Развитие коммунального хозяйства в муниципальном образовании «Город Горно-Алтайск» на 2014 - 2019 годы»</t>
  </si>
  <si>
    <t>09 2 00 00000</t>
  </si>
  <si>
    <t xml:space="preserve">Энергосбережение и повышение энергетической эффективности в муниципальном образовании «Город Горно-Алтайск» </t>
  </si>
  <si>
    <t>09 2 01 00000</t>
  </si>
  <si>
    <t xml:space="preserve">Субсидии на строительство (приобретение) и (или) аренду котельных, работающих на природном газе </t>
  </si>
  <si>
    <t>09 2 01 00001</t>
  </si>
  <si>
    <t xml:space="preserve">Субсидии на осуществление энергосберегающих технических мероприятий на системах теплоснабжения, системах водоснабжения, водоотведения и модернизации оборудования на объектах, участвующих в предоставлении коммунальных услуг </t>
  </si>
  <si>
    <t>09 2 01 00002</t>
  </si>
  <si>
    <t>Осуществление энергосберегающих технических мероприятий на системах теплоснабжения и модернизации оборудования на объектах, участвующих в предоставлении коммунальных услуг населению города Горно-Алтайска</t>
  </si>
  <si>
    <t>09 2 03 00001</t>
  </si>
  <si>
    <t>Строительство объектов образования, спорта и культуры и объектов инженерной инфраструктуры в городе Горно-Алтайске</t>
  </si>
  <si>
    <t>12 1 01 00000</t>
  </si>
  <si>
    <t>Проектно-изыскательские работы по объектам строительства и реконструкции объектов муниципальной собственности в городе Горно-Алтайске</t>
  </si>
  <si>
    <t>12 1 01 00002</t>
  </si>
  <si>
    <t>Строительство объектов газификации города Горно-Алтайска в городе Горно-Алтайске</t>
  </si>
  <si>
    <t>12 1 01 000Г1</t>
  </si>
  <si>
    <t>Основное мероприятие "Создание условий для возможности улучшения жилищных условий населения, проживающего на территории Республики Алтай"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</si>
  <si>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</t>
  </si>
  <si>
    <t>02 1 02 409П0</t>
  </si>
  <si>
    <t>Основное мероприятие «Повышение доступности услуг водоснабжения и водоотведения, обеспечение питьевой водой нормативного качества для населения Республики Алтай»</t>
  </si>
  <si>
    <t>02 1 05 00000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</si>
  <si>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</t>
  </si>
  <si>
    <t>02 1 05 4200П</t>
  </si>
  <si>
    <t>Строительство и реконструкция сетей водоснабжения и водоотведения в городе Горно-Алтайске</t>
  </si>
  <si>
    <t>12 1 01 000В1</t>
  </si>
  <si>
    <t>Капитальный ремонт сетей объектов водоснабжения и водоотведения в городе Горно-Алтайске</t>
  </si>
  <si>
    <t>12 1 01 000В3</t>
  </si>
  <si>
    <t>Строительство и реконструкция объектов и сетей электроэнергетики в городе Горно-Алтайске</t>
  </si>
  <si>
    <t>12 1 01 000Э1</t>
  </si>
  <si>
    <t>Капитальный ремонт объектов и сетей электроэнергетики в городе Горно-Алтайске</t>
  </si>
  <si>
    <t>12 1 01 000Э3</t>
  </si>
  <si>
    <t xml:space="preserve">Капитальный ремонт зданий учреждений образования </t>
  </si>
  <si>
    <t>12 1 01 000А3</t>
  </si>
  <si>
    <t>Строительство, реконструкция и приобретение зданий  учреждений образования в городе Горно-Алтайске</t>
  </si>
  <si>
    <t>12 1 01 003А1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</si>
  <si>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</si>
  <si>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06 0 00 00000</t>
  </si>
  <si>
    <t>Подпрограмма «Создание условий для физической активности населения муниципального образования «Город Горно-Алтайск»  на 2014 - 2019 годы»</t>
  </si>
  <si>
    <t>06 1 00 00000</t>
  </si>
  <si>
    <t xml:space="preserve">Расходы на оплату труда и начисления на выплаты по оплате труда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</si>
  <si>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06 1 02 00001</t>
  </si>
  <si>
    <t xml:space="preserve">Расходы на оплату коммунальных услуг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</si>
  <si>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06 1 02 00002</t>
  </si>
  <si>
    <t xml:space="preserve">Расходы на проведение спортивно-массовых мероприятий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</si>
  <si>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06 1 02 00003</t>
  </si>
  <si>
    <t xml:space="preserve">Расходы на прочее материально-техническое обеспечение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</si>
  <si>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06 1 02 00004</t>
  </si>
  <si>
    <t xml:space="preserve">Расходы на осуществление мероприятий по пожарной безопасности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</si>
  <si>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06 1 02 00005</t>
  </si>
  <si>
    <t xml:space="preserve">Расходы на проведение текущего и капитального ремонта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</si>
  <si>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06 1 02 00006</t>
  </si>
  <si>
    <t>Расходы на проведение мероприятий по обеспечению доступности маломобильных групп населения в учреждениях дополнительного образования</t>
  </si>
  <si>
    <t>06 1 02 00007</t>
  </si>
  <si>
    <t xml:space="preserve">Расходы на повышение квалификации работников в Муниципальном бюджетном образовательном учреждении дополнительного образования «Специализированная детско-юношеская спортивная школа по горным лыжам и сноуборду города Горно-Алтайска» </t>
  </si>
  <si>
    <t>06 1 02 0000П</t>
  </si>
  <si>
    <t>Муниципальная программа муниципального образования «Город Горно-Алтайск» «Молодежная политика в муниципальном образовании «Город Горно-Алтайск» на 2014 - 2019 годы»</t>
  </si>
  <si>
    <t>10 0 00 00000</t>
  </si>
  <si>
    <t>Подпрограмма «Организация работы с молодежью в муниципальном образовании «Город Горно-Алтайск» на 2014 - 2019 годы»</t>
  </si>
  <si>
    <t>10 1 00 00000</t>
  </si>
  <si>
    <t xml:space="preserve">Создание условий для развития потенциала молодежи в муниципальном образовании «Город Горно-Алтайск» </t>
  </si>
  <si>
    <t>10 1 01 00001</t>
  </si>
  <si>
    <t xml:space="preserve">Организация работы с молодежью по месту жительства в Муниципальном бюджетном учреждении «Молодежный центр города Горно-Алтайска» </t>
  </si>
  <si>
    <t>10 1 02 00000</t>
  </si>
  <si>
    <t xml:space="preserve">Расходы на оплату труда и начисления на выплаты по оплате труда в Муниципальном бюджетном учреждении «Молодежный центр города Горно-Алтайска» </t>
  </si>
  <si>
    <t>10 1 02 00001</t>
  </si>
  <si>
    <t xml:space="preserve">Расходы на оплату коммунальных услуг в Муниципальном бюджетном учреждении «Молодежный центр города Горно-Алтайска» </t>
  </si>
  <si>
    <t>10 1 02 00002</t>
  </si>
  <si>
    <t xml:space="preserve">Расходы на проведение текущего и капитального ремонта в Муниципальном бюджетном учреждении «Молодежный центр города Горно-Алтайска» </t>
  </si>
  <si>
    <t>10 1 02 00003</t>
  </si>
  <si>
    <t xml:space="preserve">Расходы на прочее материально-техническое обеспечение в Муниципальном бюджетном учреждении «Молодежный центр города Горно-Алтайска» </t>
  </si>
  <si>
    <t>10 1 02 00004</t>
  </si>
  <si>
    <t>99 0 С0 12000</t>
  </si>
  <si>
    <t>Мероприятия подрограммы "Обеспечение жильем молодых семей"</t>
  </si>
  <si>
    <t>05 1 01 50200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</si>
  <si>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</t>
  </si>
  <si>
    <t>02 1 01 R0200</t>
  </si>
  <si>
    <t>Основное мероприятие «Меры социальной поддержки отдельных категорий граждан»</t>
  </si>
  <si>
    <t>05 1 01 00000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</si>
  <si>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«О ветеранах», в соответствии с Указом Президента Российской Федерации от 7 мая 2008 года N 714 «Об обеспечении жильем ветеранов Великой Отечественной войны 1941 - 1945 годов»</t>
  </si>
  <si>
    <t>05 1 01 51340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</si>
  <si>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</si>
  <si>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05 1 01 51350</t>
  </si>
  <si>
    <t xml:space="preserve">Обеспечение жильем молодых семей в муниципальном образовании «Город Горно-Алтайск» </t>
  </si>
  <si>
    <t>09 1 03 00001</t>
  </si>
  <si>
    <t>Обеспечение жильем отдельных категорий граждан в муниципальном образовании «Город Горно-Алтайск»</t>
  </si>
  <si>
    <t>09 1 04 00001</t>
  </si>
  <si>
    <t>Муниципальная программа муниципального образования «Город Горно-Алтайск» «Адресная социальная помощь и общественные мероприятия для населения в муниципальном образовании «Город Горно-Алтайск» на 2014 - 2019 годы»</t>
  </si>
  <si>
    <t>11 0 00 00000</t>
  </si>
  <si>
    <t>Подпрограмма "Обеспечение адресной социальной помощью и проведение общественных мероприятий для  населения в муниципальном образовании «Город Горно-Алтайск»  на 2014 - 2019 годы»</t>
  </si>
  <si>
    <t>11 1 00 00000</t>
  </si>
  <si>
    <t>Обеспечение адресной социальной помощью и проведение общественных мероприятий для  населения в муниципальном образовании «Город Горно-Алтайск» льном образовании «Город Горно-Алтайск»</t>
  </si>
  <si>
    <t>11 1 01 00000</t>
  </si>
  <si>
    <t>Приобретение товаров, работ, услуг в пользу граждан</t>
  </si>
  <si>
    <t>323</t>
  </si>
  <si>
    <t>Подпрограмма «Создание условий для физической активности населения муниципального образования «Город Горно-Алтайск» на 2014 - 2019 годы»</t>
  </si>
  <si>
    <t xml:space="preserve">Развитие физической культуры и массового спорта в муниципальном образовании «Город Горно-Алтайск» </t>
  </si>
  <si>
    <t>06 1 01 00000</t>
  </si>
  <si>
    <t>Обнародование (официального опубликование) правовых актов органов муниципальной власти муниципального образования «Город Горно-Алтайск»</t>
  </si>
  <si>
    <t>99 0 Т0 12000</t>
  </si>
  <si>
    <t>99 0 00 13000</t>
  </si>
  <si>
    <t>99 0 00 13001</t>
  </si>
  <si>
    <t>99 0 А0 13100</t>
  </si>
  <si>
    <t>Расходы на выплаты по оплате труда работников Выборного представительного органа местного самоуправления - Горно-Алтайского городского Совета депутатов</t>
  </si>
  <si>
    <t>99 0 А0 13110</t>
  </si>
  <si>
    <t>Расходы на обеспечение функций  Выборного представительного органа местного самоуправления - Горно-Алтайского городского Совета депутатов</t>
  </si>
  <si>
    <t>99 0 А0 13190</t>
  </si>
  <si>
    <t>99 0 00 00013</t>
  </si>
  <si>
    <t>99 0 Я0 13000</t>
  </si>
  <si>
    <t>Расходы на компенсационные выплаты неработающим пенсионерам Выборного представительного органа местного самоуправления - Горно-Алтайского городского Совета депутатов</t>
  </si>
  <si>
    <t>99 0 С0 13000</t>
  </si>
  <si>
    <t>Муниципальная программа муниципального образования «Город Горно-Алтайск» «Развитие культуры в муниципальном образовании «Город Горно-Алтайск» на 2014 - 2019 годы»</t>
  </si>
  <si>
    <t>05 0 00 00000</t>
  </si>
  <si>
    <t xml:space="preserve">Подпрограмма «Развитие дополнительного образования в сфере культуры и искусства в муниципальном образовании «Город Горно-Алтайск»на 2014 - 2019 годы» </t>
  </si>
  <si>
    <t>05 2 00 00000</t>
  </si>
  <si>
    <t xml:space="preserve">Предоставление услуг дополнительного образования в сфере культуры и искусств в муниципальном образовании «Город Горно-Алтайск» </t>
  </si>
  <si>
    <t>05 2 04 00000</t>
  </si>
  <si>
    <t xml:space="preserve">Расходы на оплату труда и начисления на выплаты по оплате труда в учреждениях дополнительного образования в сфере культуры и искусства </t>
  </si>
  <si>
    <t>05 2 04 00001</t>
  </si>
  <si>
    <t xml:space="preserve">Расходы на оплату коммунальных услуг учреждений в учреждениях дополнительного образования в сфере культуры и искусства </t>
  </si>
  <si>
    <t>05 2 04 00002</t>
  </si>
  <si>
    <t xml:space="preserve">Расходы на осуществление мероприятий по пожарной безопасности в учреждениях дополнительного образования в сфере культуры и искусства </t>
  </si>
  <si>
    <t>05 2 04 00003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</si>
  <si>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в сфере культуры и искусства </t>
  </si>
  <si>
    <t>05 2 04 00004</t>
  </si>
  <si>
    <t xml:space="preserve">Расходы на проведение текущего и капитального ремонта в учреждениях дополнительного образования в сфере культуры и искусства </t>
  </si>
  <si>
    <t>05 2 04 00005</t>
  </si>
  <si>
    <t xml:space="preserve"> Расходы на прочее материально-техническое обеспечение в учреждениях дополнительного образования в сфере культуры и искусства</t>
  </si>
  <si>
    <t>05 2 04 00009</t>
  </si>
  <si>
    <t>05 2 04 00010</t>
  </si>
  <si>
    <t>Субсидии на поддержку и развитие сферы культуры</t>
  </si>
  <si>
    <t>08 2 01 45000</t>
  </si>
  <si>
    <t>Реализация мероприятий федеральной целевой программы "Культура России (2012 - 2018 годы)"</t>
  </si>
  <si>
    <t>08 2 01 50140</t>
  </si>
  <si>
    <t xml:space="preserve">Подпрограмма «Сохранение культуры и искусства в муниципальном образовании «Город Горно-Алтайск» на 2014 - 2019 годы» </t>
  </si>
  <si>
    <t>05 1 00 00000</t>
  </si>
  <si>
    <t xml:space="preserve">Повышение качества предоставления библиотечных услуг в муниципальном образовании «Город Горно-Алтайск» </t>
  </si>
  <si>
    <t xml:space="preserve">Расходы на оплату труда и начисления на выплаты по оплате труда в муниципальном бюджетном учреждении «Горно-Алтайская городская библиотечная система» </t>
  </si>
  <si>
    <t>05 1 01 00001</t>
  </si>
  <si>
    <t xml:space="preserve">Расходы на оплату коммунальных услуг в муниципальном бюджетном учреждении «Горно-Алтайская городская библиотечная система» </t>
  </si>
  <si>
    <t>05 1 01 00002</t>
  </si>
  <si>
    <t xml:space="preserve">Расходы на осуществление мероприятий по пожарной безопасности в Муниципальном бюджетном учреждении «Горно-Алтайская городская библиотечная система» </t>
  </si>
  <si>
    <t>05 1 01 00003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</si>
  <si>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«Горно-Алтайская городская библиотечная система» </t>
  </si>
  <si>
    <t>05 1 01 00004</t>
  </si>
  <si>
    <t xml:space="preserve">Расходы на проведение текущего и капитального ремонта в муниципальном бюджетном учреждении «Горно-Алтайская городская библиотечная система» </t>
  </si>
  <si>
    <t>05 1 01 00005</t>
  </si>
  <si>
    <t xml:space="preserve">Расходы на прочее материально-техническое обеспечение в Муниципальном бюджетном учреждении «Горно-Алтайская городская библиотечная система» </t>
  </si>
  <si>
    <t>05 1 01 00009</t>
  </si>
  <si>
    <t xml:space="preserve">Повышение качества предоставления культурно-досуговых услуг в муниципальном образовании «Город Горно-Алтайск» </t>
  </si>
  <si>
    <t>05 1 02 00000</t>
  </si>
  <si>
    <t xml:space="preserve">Расходы на оплату труда и начисления на выплаты по оплате труда в Муниципальном автономном учреждении культуры города Горно-Алтайска «Городской Дом культуры Горно-Алтайска» </t>
  </si>
  <si>
    <t>05 1 02 00001</t>
  </si>
  <si>
    <t xml:space="preserve">Расходы на оплату коммунальных услуг учреждений в Муниципальном автономном учреждении культуры города Горно-Алтайска «Городской Дом культуры Горно-Алтайска» </t>
  </si>
  <si>
    <t>05 1 02 00002</t>
  </si>
  <si>
    <t xml:space="preserve">Расходы на осуществление мероприятий по пожарной безопасности в Муниципальном автономном учреждении культуры города Горно-Алтайска «Городской Дом культуры Горно-Алтайска» </t>
  </si>
  <si>
    <t>05 1 02 00003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</si>
  <si>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автономном учреждении культуры города Горно-Алтайска «Городской Дом культуры Горно-Алтайска» </t>
  </si>
  <si>
    <t>05 1 02 00004</t>
  </si>
  <si>
    <t xml:space="preserve">Расходы на проведение текущего и капитального ремонта в муниципальном автономном учреждении культуры города Горно-Алтайска «Городской Дом культуры Горно-Алтайска» </t>
  </si>
  <si>
    <t>05 1 02 00005</t>
  </si>
  <si>
    <t xml:space="preserve">Расходы на прочее материально-техническое обеспечение в Муниципальном автономном учреждении культуры города Горно-Алтайска «Городской Дом культуры Горно-Алтайска» </t>
  </si>
  <si>
    <t>05 1 02 00009</t>
  </si>
  <si>
    <t xml:space="preserve">Повышение качества проведения культурно-массовых мероприятий в муниципальном образовании «Город Горно-Алтайск» </t>
  </si>
  <si>
    <t>05 1 03 00000</t>
  </si>
  <si>
    <t xml:space="preserve">Расходы на патриотическое воспитание граждан города Горно-Алтайска в Муниципальном автономном учреждении культуры города Горно-Алтайска «Городской Дом культуры Горно-Алтайска» </t>
  </si>
  <si>
    <t>05 1 03 00007</t>
  </si>
  <si>
    <t xml:space="preserve">Расходы на проведение культурно-массовых мероприятий в муниципальном образовании «Город Горно-Алтайск» </t>
  </si>
  <si>
    <t>05 1 03 00008</t>
  </si>
  <si>
    <t>Основное мероприятие «Повышение уровня и качества предоставления библиотечных услуг»</t>
  </si>
  <si>
    <t>08 1 01 00000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</si>
  <si>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</si>
  <si>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08 1 01 51440</t>
  </si>
  <si>
    <t xml:space="preserve">Повышение эффективности управления в Муниципальном учреждении «Отдел культуры Администрации города Горно-Алтайска» </t>
  </si>
  <si>
    <t>05 0 01 14000</t>
  </si>
  <si>
    <t xml:space="preserve">Материально-техническое обеспечение Муниципального учреждения «Отдел культуры Администрации города Горно-Алтайска» </t>
  </si>
  <si>
    <t>05 0 А1 14100</t>
  </si>
  <si>
    <t xml:space="preserve">Расходы на выплаты по оплате труда работников Муниципального учреждения «Отдел культуры Администрации города Горно-Алтайска» </t>
  </si>
  <si>
    <t>05 0 А1 14110</t>
  </si>
  <si>
    <t xml:space="preserve">Расходы на обеспечение функций Муниципального учреждения «Отдел культуры Администрации города Горно-Алтайска» </t>
  </si>
  <si>
    <t>05 0 А1 14190</t>
  </si>
  <si>
    <t xml:space="preserve">Организация бухгалтерского учета в Муниципальном бюджетном учреждении «Централизованная бухгалтерия отдела культуры Администрации города Горно-Алтайска» </t>
  </si>
  <si>
    <t>05 0 Ц1 14000</t>
  </si>
  <si>
    <t>Расходы на оплату труда и начисления на выплаты по оплате труда в Муниципальном бюджетном учреждении  "Централизованная бухгалтерия отдела культуры Администрации города Горно-Алтайска"</t>
  </si>
  <si>
    <t>05 0 Ц1 14001</t>
  </si>
  <si>
    <t xml:space="preserve">Расходы на оплату коммунальных услуг учреждений в Муниципальном бюджетном учреждении «Централизованная бухгалтерия отдела культуры Администрации города Горно-Алтайска» </t>
  </si>
  <si>
    <t>05 0 Ц1 14002</t>
  </si>
  <si>
    <t xml:space="preserve">Расходы на осуществление мероприятий по пожарной безопасности в Муниципальном бюджетном учреждении «Централизованная бухгалтерия отдела культуры Администрации города Горно-Алтайска» </t>
  </si>
  <si>
    <t>05 0 Ц1 14003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</si>
  <si>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 «Централизованная бухгалтерия отдела культуры Администрации города Горно-Алтайска» </t>
  </si>
  <si>
    <t>05 0 Ц1 14004</t>
  </si>
  <si>
    <t xml:space="preserve">Расходы на проведение текущего и капитального ремонта в МБУ «Централизованная бухгалтерия отдела культуры Администрации города Горно-Алтайска» </t>
  </si>
  <si>
    <t>05 0 Ц1 14005</t>
  </si>
  <si>
    <t xml:space="preserve">Расходы на прочее материально-техническое обеспечение в в Муниципальном бюджетном учреждении «Централизованная бухгалтерия отдела культуры Администрации города Горно-Алтайска» </t>
  </si>
  <si>
    <t>05 0 Ц1 14009</t>
  </si>
  <si>
    <t>Софинансирование расходов на реализацию мероприятий государственной программы Российской Федерации "Доступная среда"</t>
  </si>
  <si>
    <t>05 5 01 R0270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</si>
  <si>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2014 - 2019 гг.»</t>
  </si>
  <si>
    <t>07 0 00 00000</t>
  </si>
  <si>
    <t>Подпрограмма «Развитие системы общего и дополнительного образования в муниципальном образовании «Город Горно-Алтайск» на 2014 - 2019 гг.»</t>
  </si>
  <si>
    <t>07 1 00 00000</t>
  </si>
  <si>
    <t xml:space="preserve">Развитие дошкольного образования в муниципальном образовании «Город Горно-Алтайск» </t>
  </si>
  <si>
    <t>07 1 01 00000</t>
  </si>
  <si>
    <t xml:space="preserve">Расходы на оплату труда и начисления на выплаты по оплате труда в учреждениях дошкольного образования </t>
  </si>
  <si>
    <t>07 1 01 00001</t>
  </si>
  <si>
    <t xml:space="preserve">Расходы на оплату коммунальных услуг учреждений в учреждениях дошкольного образования </t>
  </si>
  <si>
    <t>07 1 01 00004</t>
  </si>
  <si>
    <t xml:space="preserve">Расходы на осуществление мероприятий по пожарной безопасности в учреждениях дошкольного образования </t>
  </si>
  <si>
    <t>07 1 01 00005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</si>
  <si>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дошкольного образования </t>
  </si>
  <si>
    <t>07 1 01 00006</t>
  </si>
  <si>
    <t xml:space="preserve">Расходы на проведение текущего и капитального ремонта зданий объектов дошкольного образования </t>
  </si>
  <si>
    <t>07 1 01 00007</t>
  </si>
  <si>
    <t xml:space="preserve">Расходы на оснащение мягким инвентарем и оборудованием  объектов дошкольного образования </t>
  </si>
  <si>
    <t>07 1 01 00011</t>
  </si>
  <si>
    <t xml:space="preserve">Расходы на обеспечение питанием детей льготной категории в учреждениях дошкольного образования </t>
  </si>
  <si>
    <t>07 1 01 00013</t>
  </si>
  <si>
    <t xml:space="preserve">Расходы на прочее материально-техническое обеспечение в учреждениях дошкольного образования </t>
  </si>
  <si>
    <t>07 1 01 00014</t>
  </si>
  <si>
    <t xml:space="preserve">Расходы на оплату труда работникам дошкольных образовательных учреждений осуществляющим присмотр и уход за детьми  </t>
  </si>
  <si>
    <t>07 1 01 00015</t>
  </si>
  <si>
    <t xml:space="preserve">Расходы на повышение квалификации работников в муниципальных учреждениях дошкольного образования </t>
  </si>
  <si>
    <t>07 1 01 0000П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</si>
  <si>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</si>
  <si>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07 1 01 46200</t>
  </si>
  <si>
    <t>Основное мероприятие «Развитие системы содержания и обучения детей в общеобразовательных организациях Республики Алтай»</t>
  </si>
  <si>
    <t>07 2 01 00000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</si>
  <si>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</si>
  <si>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07 2 01 44300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</si>
  <si>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</si>
  <si>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07 2 01 44500</t>
  </si>
  <si>
    <t xml:space="preserve">Развитие системы содержания и обучения детей в муниципальных общеобразовательных учреждениях г. Горно-Алтайска </t>
  </si>
  <si>
    <t>07 1 02 00000</t>
  </si>
  <si>
    <t xml:space="preserve">Расходы на оплату труда и начисления на выплаты по оплате труда в учреждениях общего образования </t>
  </si>
  <si>
    <t>07 1 02 00001</t>
  </si>
  <si>
    <t xml:space="preserve">Расходы на оплату коммунальных услуг в учреждениях общего образования </t>
  </si>
  <si>
    <t>07 1 02 00004</t>
  </si>
  <si>
    <t xml:space="preserve">Расходы на осуществление мероприятий по пожарной безопасности в учреждениях общего образования </t>
  </si>
  <si>
    <t>07 1 02 00005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</si>
  <si>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общего образования </t>
  </si>
  <si>
    <t>07 1 02 00006</t>
  </si>
  <si>
    <t xml:space="preserve">Расходы на проведение текущего и капитального ремонта зданий объектов общего образования </t>
  </si>
  <si>
    <t>07 1 02 00007</t>
  </si>
  <si>
    <t xml:space="preserve">Расходы на оснащение мягким инвентарем и оборудованием  объектов общего образования </t>
  </si>
  <si>
    <t>07 1 02 00011</t>
  </si>
  <si>
    <t xml:space="preserve">Расходы на обеспечение питанием детей  в учреждениях общего образования </t>
  </si>
  <si>
    <t>07 1 02 00013</t>
  </si>
  <si>
    <t xml:space="preserve">Расходы на прочее материально-техническое обеспечение в учреждениях общего образования </t>
  </si>
  <si>
    <t>07 1 02 00014</t>
  </si>
  <si>
    <t>Расходы на проведение мероприятий по обеспечению доступности маломобильных групп населения в учреждениях общего образования</t>
  </si>
  <si>
    <t>07 1 02 00015</t>
  </si>
  <si>
    <t xml:space="preserve">Расходы на повышение квалификации работников в муниципальных учреждениях общего образования </t>
  </si>
  <si>
    <t>07 1 02 0000П</t>
  </si>
  <si>
    <t xml:space="preserve">Развитие системы дополнительного образования в муниципальном образовании «Город Горно-Алтайск» </t>
  </si>
  <si>
    <t>07 1 03 00000</t>
  </si>
  <si>
    <t xml:space="preserve">Расходы на оплату труда и начисления на выплаты по оплате труда в учреждениях дополнительного образования </t>
  </si>
  <si>
    <t>07 1 03 00001</t>
  </si>
  <si>
    <t xml:space="preserve">Предоставление ежемесячной надбавки к заработной плате молодым специалистам в учреждениях дополнительного образования </t>
  </si>
  <si>
    <t>07 1 03 00003</t>
  </si>
  <si>
    <t xml:space="preserve">Расходы на оплату коммунальных услуг в учреждениях дополнительного образования </t>
  </si>
  <si>
    <t>07 1 03 00004</t>
  </si>
  <si>
    <t xml:space="preserve">Расходы на осуществление мероприятий по пожарной безопасности в учреждениях дополнительного образования </t>
  </si>
  <si>
    <t>07 1 03 00005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</si>
  <si>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</t>
  </si>
  <si>
    <t>07 1 03 00006</t>
  </si>
  <si>
    <t xml:space="preserve">Расходы на проведение текущего и капитального ремонта зданий объектов дополнительного образования </t>
  </si>
  <si>
    <t>07 1 03 00007</t>
  </si>
  <si>
    <t xml:space="preserve">Расходы на мероприятия связанные с повышением безопасности дорожного движения в учреждениях дополнительного образования </t>
  </si>
  <si>
    <t>07 1 03 00008</t>
  </si>
  <si>
    <t xml:space="preserve">Расходы на патриотическое воспитание детей в учреждениях дополнительного образования </t>
  </si>
  <si>
    <t>07 1 03 00009</t>
  </si>
  <si>
    <t xml:space="preserve">Расходы на обеспечение питанием детей в учреждениях дополнительного образования </t>
  </si>
  <si>
    <t>07 1 03 00013</t>
  </si>
  <si>
    <t xml:space="preserve">Расходы на прочее материально-техническое обеспечение в учреждениях дополнительного образования </t>
  </si>
  <si>
    <t>07 1 03 00014</t>
  </si>
  <si>
    <t xml:space="preserve">Расходы на повышение квалификации работников в муниципальных учреждениях дополнительного образования </t>
  </si>
  <si>
    <t>07 1 03 0000П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</si>
  <si>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</si>
  <si>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07 2 01 44100</t>
  </si>
  <si>
    <t xml:space="preserve">Субсидии на обеспечение питанием учащихся из малообеспеченных семей  </t>
  </si>
  <si>
    <t>07 2 01 44400</t>
  </si>
  <si>
    <t>Основное мероприятие «Организация отдыха, оздоровления детей»</t>
  </si>
  <si>
    <t>05 2 01 00000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</si>
  <si>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</si>
  <si>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05 2 01 43300</t>
  </si>
  <si>
    <t>Пособия и компенсации и иные социальные выплаты гражданам, кроме публичных нормативных обязательств</t>
  </si>
  <si>
    <t xml:space="preserve">Оздоровление детей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</si>
  <si>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07 1 03 20000</t>
  </si>
  <si>
    <t xml:space="preserve">Расходы на оплату труда и начисления на выплаты по оплате труда в Муниципальном бюджетном образовательном учреждении дополнительного образования детей «Детский оздоровительно-образовательный центр «Космос» города Горно-Алтайска» </t>
  </si>
  <si>
    <t>07 1 03 20001</t>
  </si>
  <si>
    <t xml:space="preserve">Расходы на оплату коммунальных услуг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</si>
  <si>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07 1 03 20004</t>
  </si>
  <si>
    <t xml:space="preserve">Расходы на осуществление мероприятий по пожарной безопасности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</si>
  <si>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07 1 03 20005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</si>
  <si>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</si>
  <si>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07 1 03 20006</t>
  </si>
  <si>
    <t xml:space="preserve">Расходы на проведение текущего и капитального ремонта здания Детского оздоровительно-образовательного центра «Космос» </t>
  </si>
  <si>
    <t>07 1 03 20007</t>
  </si>
  <si>
    <t xml:space="preserve">Расходы на мероприятия связанные с повышением безопасности дорожного движения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</si>
  <si>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07 1 03 20008</t>
  </si>
  <si>
    <t xml:space="preserve">Расходы на прочее материально-техническое обеспечение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</si>
  <si>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07 1 03 20014</t>
  </si>
  <si>
    <t xml:space="preserve">Расходы на повышение квалификации работников в Муниципальном бюджетном образовательном учреждении дополнительного образования «Детский оздоровительно-образовательный центр «Космос» города Горно-Алтайска» </t>
  </si>
  <si>
    <t>07 1 03 2000П</t>
  </si>
  <si>
    <t xml:space="preserve">Повышение эффективности муниципального управления в Муниципальном учреждении «Управление образования администрации МО города Горно-Алтайска» </t>
  </si>
  <si>
    <t>07 0 01 15000</t>
  </si>
  <si>
    <r>
      <t>Материально-техническое обеспечение Муниципального учреждения «Управление образования администрации МО города Горно-Алтайска»</t>
    </r>
    <r>
      <rPr>
        <sz val="14"/>
        <color indexed="8"/>
        <rFont val="Times New Roman"/>
        <family val="1"/>
      </rPr>
      <t xml:space="preserve"> </t>
    </r>
  </si>
  <si>
    <t>07 0 А1 15100</t>
  </si>
  <si>
    <t xml:space="preserve">Расходы на выплаты по оплате труда работников Муниципального учреждения «Управление образования администрации МО города Горно-Алтайска» </t>
  </si>
  <si>
    <t>07 0 А1 15110</t>
  </si>
  <si>
    <t xml:space="preserve">Расходы на обеспечение функций Муниципального учреждения «Управление образования администрации МО города Горно-Алтайска» </t>
  </si>
  <si>
    <t>07 0 А1 15190</t>
  </si>
  <si>
    <t xml:space="preserve">Расходы на повышение квалификации работников  Муниципального учреждения «Управление образования администрации МО города Горно-Алтайска» </t>
  </si>
  <si>
    <t>07 0 П1 15000</t>
  </si>
  <si>
    <t xml:space="preserve">Прочие расходы не относящиеся к содержанию органов местного самоуправления в Муниципальном учреждении «Управление образования администрации МО города Горно-Алтайска» </t>
  </si>
  <si>
    <t>07 0 У1 15000</t>
  </si>
  <si>
    <t xml:space="preserve">Организация деятельности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</si>
  <si>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15000</t>
  </si>
  <si>
    <t xml:space="preserve">Расходы на оплату труда и начисления на выплаты по оплате труда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</si>
  <si>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15001</t>
  </si>
  <si>
    <t xml:space="preserve">Расходы на оплату коммунальных услуг учреждений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</si>
  <si>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15004</t>
  </si>
  <si>
    <t xml:space="preserve">Расходы на осуществление мероприятий по пожарной безопасности в МБУ «Центр бухгалтерского и хозяйственного обслуживания МОУ г. Горно-Алтайска» </t>
  </si>
  <si>
    <t>07 0 Ц1 15005</t>
  </si>
  <si>
    <t xml:space="preserve">Расходы на проведение текущего и капитального ремонта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</si>
  <si>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15007</t>
  </si>
  <si>
    <t xml:space="preserve">Расходы на прочее материально-техническое обеспечение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</si>
  <si>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15014</t>
  </si>
  <si>
    <t xml:space="preserve">Расходы на повышение квалификации работников в Муниципальном бюджетном учреждении  «Центр бухгалтерского и хозяйственного обслуживания муниципальных образовательных учреждений города Горно-Алтайска» </t>
  </si>
  <si>
    <t>07 0 Ц1 1500П</t>
  </si>
  <si>
    <t xml:space="preserve">Развитие профессионального потенциала педагогических кадров в МО «Город Горно-Алтайск» </t>
  </si>
  <si>
    <t>07 0 02 15000</t>
  </si>
  <si>
    <t xml:space="preserve">Расходы на оплату труда и начисления на выплаты по оплате труда в Муниципальном автономном учреждении «Центр информационно-методического обеспечения муниципальных образовательных учреждений города Горно-Алтайска» </t>
  </si>
  <si>
    <t>07 0 02 15001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</si>
  <si>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</si>
  <si>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 xml:space="preserve">Расходы на оплату коммунальных услуг в Муниципальном автономном учреждении «Центр информационно-методического обеспечения муниципальных образовательных учреждений города Горно-Алтайска» </t>
  </si>
  <si>
    <t>07 0 02 15004</t>
  </si>
  <si>
    <t xml:space="preserve">Расходы на проведение текущего и капитального ремонта в Муниципальном автономном учреждении «Центр информационно-методического обеспечения муниципальных образовательных учреждений города Горно-Алтайска» </t>
  </si>
  <si>
    <t>07 0 02 15007</t>
  </si>
  <si>
    <t xml:space="preserve">Расходы на прочее материально-техническое обеспечение в Муниципальном автономном учреждении «Центр информационно-методического обеспечения муниципальных образовательных учреждений города Горно-Алтайска» </t>
  </si>
  <si>
    <t>07 0 02 15014</t>
  </si>
  <si>
    <t>Муниципальная программа «Развитие образования в муниципальном образовании «Город Горно-Алтайск» на 2014 - 2019 годы»</t>
  </si>
  <si>
    <t xml:space="preserve">Расходы на компенсационные выплаты неработающим пенсионерам в Муниципальном учреждении «Управление образования администрации МО города Горно-Алтайска» </t>
  </si>
  <si>
    <t>07 0 С1 15000</t>
  </si>
  <si>
    <t>Основное мероприятие «Развитие дошкольного образования в Республике Алтай»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</si>
  <si>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</si>
  <si>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07 1 01 43800</t>
  </si>
  <si>
    <t>Муниципальная программа муниципального образования «Город Горно-Алтайск» «Управление муниципальными финансами на 2014 - 2019 годы»</t>
  </si>
  <si>
    <t>02 0 00 00000</t>
  </si>
  <si>
    <t xml:space="preserve">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Горно-Алтайска» </t>
  </si>
  <si>
    <t>02 0 01 16000</t>
  </si>
  <si>
    <t>Материально-техническое обеспечение Муниципального Учреждения «Финансовое Управление администрации муниципального образования города Горно-Алтайска»</t>
  </si>
  <si>
    <t>02 0 А1 16100</t>
  </si>
  <si>
    <t>Расходы на выплаты по оплате труда работников Муниципального Учреждения «Финансовое Управление администрации муниципального образования города Горно-Алтайска»</t>
  </si>
  <si>
    <t>02 0 А1 16110</t>
  </si>
  <si>
    <t>Расходы на обеспечение функций Муниципального Учреждения «Финансовое Управление администрации муниципального образования города Горно-Алтайска»</t>
  </si>
  <si>
    <t>02 0 А1 16190</t>
  </si>
  <si>
    <t xml:space="preserve">Расходы на повышение квалификации работников в Муниципальном Учреждении «Финансовое Управление администрации муниципального образования города Горно-Алтайска» </t>
  </si>
  <si>
    <t>02 0 П1 16000</t>
  </si>
  <si>
    <t>Подпрограмма «Повышение эффективности бюджетных расходов в муниципальном образовании «Город Горно-Алтайск» на 2014-2019 годы»</t>
  </si>
  <si>
    <t>02 1 00 00000</t>
  </si>
  <si>
    <t xml:space="preserve">Обеспечение сбалансированности и устойчивости бюджетной системы муниципального образования «Город Горно-Алтайск» </t>
  </si>
  <si>
    <t>02 1 01 00000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</si>
  <si>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</si>
  <si>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Резервный фонд города Горно-Алтайска </t>
  </si>
  <si>
    <t>02 1 01 Р2000</t>
  </si>
  <si>
    <t>Основное мероприятие "Повышение доступности предоставления коммунальных услуг населению Республики Алтай"</t>
  </si>
  <si>
    <t>02 1 07 00000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</si>
  <si>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</si>
  <si>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02 1 07 41900</t>
  </si>
  <si>
    <t xml:space="preserve">Развитие и поддержка предприятий жилищно-коммунального хозяйства в муниципальном образовании «Город Горно-Алтайск» </t>
  </si>
  <si>
    <t>09 2 02 00000</t>
  </si>
  <si>
    <t xml:space="preserve">Предоставление субсидий на возмещение недополученных доходов организациям, оказывающим населению города Горно-Алтайска  услуги по помывке в бане и субсидий МУП «Комбинат коммунальных предприятий» на возмещение недополученных доходов, связанных с оказанием населению города Горно-Алтайска услуг туалета общественного пользования </t>
  </si>
  <si>
    <t>09 2 02 00002</t>
  </si>
  <si>
    <t xml:space="preserve">Предоставление субсидий на возмещение недополученных доходов управляющим организациям, товариществам собственников жилья, жилищным кооперативам и иным специализированным потребительским кооперативам, предоставляющим услуги по содержанию и ремонту жилого помещения населению города Горно-Алтайска </t>
  </si>
  <si>
    <t>09 2 02 00003</t>
  </si>
  <si>
    <t xml:space="preserve">Расходы на компенсационные выплаты неработающим пенсионерам в Муниципальном Учреждении «Финансовое Управление администрации муниципального образования города Горно-Алтайска» </t>
  </si>
  <si>
    <t>02 0 С1 16000</t>
  </si>
  <si>
    <t>99 0 Л0 17000</t>
  </si>
  <si>
    <t>Материально-техническое учреждение Муниципального бюджетного учреждения "Горно-Алтайское городское лесничество"</t>
  </si>
  <si>
    <t>99 0 Л0 17100</t>
  </si>
  <si>
    <t>Расходы на выплаты по оплате труда работников Муниципального бюджетного учреждения "Горно-Алтайское городское лесничество"</t>
  </si>
  <si>
    <t>99 0 Л0 17110</t>
  </si>
  <si>
    <t>Расходы на обеспечение функций  Муниципального бюджетного учреждения "Горно-Алтайское городское лесничество"</t>
  </si>
  <si>
    <t>99 0 Л0 17190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</si>
  <si>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</si>
  <si>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02 2 01 422Д0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</si>
  <si>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</si>
  <si>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02 2 01 54200</t>
  </si>
  <si>
    <t>Муниципальная программа муниципального образования «Город Горно-Алтайск» «Развитие дорожного хозяйства и благоустройства в муниципальном образовании «Город Горно-Алтайск» на 2014 - 2019 годы»</t>
  </si>
  <si>
    <t>08 0 00 00000</t>
  </si>
  <si>
    <t>Подпрограмма «Развитие и содержание объектов благоустройства, дорожной сети и пассажирского обслуживания в муниципальном образовании «Город Горно-Алтайск» на 2014 - 2019 годы»</t>
  </si>
  <si>
    <t>08 1 00 00000</t>
  </si>
  <si>
    <t xml:space="preserve">Развитие и содержание улично-дорожной сети в муниципальном образовании «Город Горно-Алтайск» </t>
  </si>
  <si>
    <t>08 1 02 000Д0</t>
  </si>
  <si>
    <t>Строительство светофорных объектов, обустройство бордюрных и перильных ограждений, модернизация пешеходных переходов в городе Горно-Алтайске</t>
  </si>
  <si>
    <t>08 1 02 000Д1</t>
  </si>
  <si>
    <t>Расходы на содержание сети автомобильных дорог общего пользования местного значения и искусственных сооружений на них в городе Горно-Алтайске</t>
  </si>
  <si>
    <t>08 1 02 000Д2</t>
  </si>
  <si>
    <t>Расходы на текущий ремонт сетей автомобильных дорог общего пользования местного значения  в городе Горно-Алтайске</t>
  </si>
  <si>
    <t>08 1 02 000Д3</t>
  </si>
  <si>
    <t xml:space="preserve">Расходы на проведение мероприятий по обеспечению доступности улично-дорожной сети для маломобильных групп населения </t>
  </si>
  <si>
    <t>08 1 02 001Д2</t>
  </si>
  <si>
    <t>Основное мероприятие «Повышение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кошками»</t>
  </si>
  <si>
    <t>01 2 04 00000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</si>
  <si>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</si>
  <si>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01 2 04 40300</t>
  </si>
  <si>
    <t>Реализация мероприятий государственной программы Российской Федерации "Доступная среда" на 2011 - 2020 годы</t>
  </si>
  <si>
    <t>05 5 01 50270</t>
  </si>
  <si>
    <t>Развитие и содержание объектов благоустройства в муниципальном образовании «Город Горно-Алтайск»</t>
  </si>
  <si>
    <t xml:space="preserve">Расходы на озеленение в городе Горно-Алтайске, в том числе приобретение рассады </t>
  </si>
  <si>
    <t>08 1 01 00001</t>
  </si>
  <si>
    <t xml:space="preserve">Расходы на оплату уличного освещения в городе Горно-Алтайске </t>
  </si>
  <si>
    <t>08 1 01 00002</t>
  </si>
  <si>
    <t xml:space="preserve">Расходы на предоставление субсидий на содержание сетей уличного освещения в городе Горно-Алтайске </t>
  </si>
  <si>
    <t>08 1 01 00003</t>
  </si>
  <si>
    <t>Расходы на содержание мест захоронения в городе Горно-Алтайске</t>
  </si>
  <si>
    <t>08 1 01 00004</t>
  </si>
  <si>
    <t xml:space="preserve">Расходы на прочие мероприятия направленные на благоустройство в городе Горно-Алтайске </t>
  </si>
  <si>
    <t>08 1 01 00005</t>
  </si>
  <si>
    <t xml:space="preserve">Повышение эффективности управления в муниципальном учреждении «Управление коммунального хозяйства администрации города Горно-Алтайска» </t>
  </si>
  <si>
    <t>08 0 01 17000</t>
  </si>
  <si>
    <t xml:space="preserve">Материально-техническое обеспечение муниципального учреждения «Управление коммунального хозяйства администрации города Горно-Алтайска» </t>
  </si>
  <si>
    <t>08 0 А1 17100</t>
  </si>
  <si>
    <t xml:space="preserve">Расходы на выплаты по оплате труда работников Муниципального учреждения «Управление коммунального хозяйства администрации города Горно-Алтайска» </t>
  </si>
  <si>
    <t>08 0А1 17110</t>
  </si>
  <si>
    <t xml:space="preserve">Расходы на обеспечение функций Муниципального учреждения «Управление коммунального хозяйства администрации города Горно-Алтайска» </t>
  </si>
  <si>
    <t>08 0 А1 17190</t>
  </si>
  <si>
    <t>Расходы на компенсационные выплаты неработающим пенсионерам в муниципальном учреждении "Управление коммунального хозяйства администрации города Горно-Алтайска"</t>
  </si>
  <si>
    <t>08 0 С1 17000</t>
  </si>
  <si>
    <t>Муниципальная программа «Город Горно-Алтайск» «Эффективное управление муниципальной собственностью в муниципальном образовании «Город Горно-Алтайск» на 2014 - 2019 годы»</t>
  </si>
  <si>
    <t>03 0 00 00000</t>
  </si>
  <si>
    <t xml:space="preserve">Обеспечение деятельности Муниципального учреждения «Управление по имуществу и земельным отношениям города Горно-Алтайска» </t>
  </si>
  <si>
    <t>03 0 01 18000</t>
  </si>
  <si>
    <t xml:space="preserve">Материально-техническое обеспечение Муниципального учреждения «Управление по имуществу и земельным отношениям города Горно-Алтайска» </t>
  </si>
  <si>
    <t>03 0 А1 18100</t>
  </si>
  <si>
    <t xml:space="preserve">Расходы на выплаты по оплате труда работников Муниципального учреждения «Управление по имуществу и земельным отношениям города Горно-Алтайска» </t>
  </si>
  <si>
    <t>03 0 А1 18110</t>
  </si>
  <si>
    <t xml:space="preserve">Расходы на обеспечение функций Муниципального учреждения «Управление по имуществу и земельным отношениям города Горно-Алтайска» </t>
  </si>
  <si>
    <t>03 0 А1 18190</t>
  </si>
  <si>
    <t xml:space="preserve">Расходы на повышение квалификации работников в Муниципальном Учреждении «Управление по имуществу и земельным отношениям города Горно-Алтайска» </t>
  </si>
  <si>
    <t>03 0 П1 18000</t>
  </si>
  <si>
    <t>Государственная программа Республики Алтай "Информационное общество"</t>
  </si>
  <si>
    <t>14 0 00 00000</t>
  </si>
  <si>
    <t>Субсидии на развитие аппаратно-программного комплекса "Безопасный город"</t>
  </si>
  <si>
    <t>14 4 02 42300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</si>
  <si>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</t>
  </si>
  <si>
    <t>02 2 05 42400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</si>
  <si>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</t>
  </si>
  <si>
    <t>14 5 02 42400</t>
  </si>
  <si>
    <t xml:space="preserve">Подпрограмма «Повышение качества управления муниципальной собственностью в муниципальном образовании «Город Горно-Алтайск»на 2014-2019 годы» </t>
  </si>
  <si>
    <t>03 1 00 00000</t>
  </si>
  <si>
    <t xml:space="preserve">Повышение эффективности управления и распоряжения муниципальным имуществом муниципального образования «Город Горно-Алтайск» </t>
  </si>
  <si>
    <t>03 1 02 00000</t>
  </si>
  <si>
    <t xml:space="preserve">Расходы по капитальному ремонту муниципального имущества </t>
  </si>
  <si>
    <t>03 1 02 00002</t>
  </si>
  <si>
    <t>Развитие системы видеонаблюдения за ситуацией в общественных местах в муниципальном образовании "Город Горно-Алтайск" и 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устройств.</t>
  </si>
  <si>
    <t>03 1 03 00001</t>
  </si>
  <si>
    <t xml:space="preserve">Эффективное использование земельных участков на территории муниципального образования «Город Горно-Алтайск» </t>
  </si>
  <si>
    <t>03 1 01 00001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</si>
  <si>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</si>
  <si>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Эффективное использование и распоряжение муниципальным имуществом </t>
  </si>
  <si>
    <t>03 1 02 00001</t>
  </si>
  <si>
    <t>Подпрограмма «Повышение качества управления муниципальной собственностью в муниципальном образовании «Город Горно-Алтайск»на 2014-2019 годы»</t>
  </si>
  <si>
    <t xml:space="preserve">Расходы на компенсационные выплаты неработающим пенсионерам в Муниципальном учреждении «Управление по имуществу и земельным отношениям города Горно-Алтайска» </t>
  </si>
  <si>
    <t>03 0 С1 18000</t>
  </si>
  <si>
    <t xml:space="preserve">Непрограммные направления деятельности Контрольно-счетной палаты города Горно-Алтайска </t>
  </si>
  <si>
    <t>99 0 00 19000</t>
  </si>
  <si>
    <t>99 0 А0 19100</t>
  </si>
  <si>
    <t xml:space="preserve">Расходы на выплаты по оплате труда работников Контрольно-счетной палаты города Горно-Алтайска </t>
  </si>
  <si>
    <t>99 0 А0 19110</t>
  </si>
  <si>
    <t xml:space="preserve">Расходы на обеспечение функций  Контрольно-счетной палаты города Горно-Алтайска </t>
  </si>
  <si>
    <t>99 0 А0 19190</t>
  </si>
  <si>
    <t>99 0 П0 19000</t>
  </si>
  <si>
    <t xml:space="preserve">от                           2017 г. №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</si>
</sst>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000000000"/>
    <numFmt numFmtId="188" formatCode="0.000000000"/>
    <numFmt numFmtId="189" formatCode="0.00000000"/>
    <numFmt numFmtId="190" formatCode="0.0000000"/>
    <numFmt numFmtId="191" formatCode="_-* #,##0.000000_р_._-;\-* #,##0.000000_р_._-;_-* &quot;-&quot;??????_р_._-;_-@_-"/>
    <numFmt numFmtId="192" formatCode="0.0"/>
    <numFmt numFmtId="193" formatCode="#,##0.0000_р_."/>
    <numFmt numFmtId="194" formatCode="#,##0.00000_р_."/>
    <numFmt numFmtId="195" formatCode="_-* #,##0.0000000_р_._-;\-* #,##0.0000000_р_._-;_-* &quot;-&quot;??_р_._-;_-@_-"/>
    <numFmt numFmtId="196" formatCode="#,##0.0"/>
    <numFmt numFmtId="197" formatCode="_-* #,##0.0_р_._-;\-* #,##0.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3" fontId="3" fillId="33" borderId="0" xfId="0" applyNumberFormat="1" applyFont="1" applyFill="1" applyAlignment="1">
      <alignment wrapText="1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49" fontId="3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 shrinkToFit="1"/>
    </xf>
    <xf numFmtId="0" fontId="3" fillId="0" borderId="17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81" fontId="4" fillId="0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181" fontId="3" fillId="33" borderId="12" xfId="0" applyNumberFormat="1" applyFont="1" applyFill="1" applyBorder="1" applyAlignment="1">
      <alignment horizontal="center" wrapText="1"/>
    </xf>
    <xf numFmtId="181" fontId="3" fillId="33" borderId="1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181" fontId="3" fillId="33" borderId="0" xfId="0" applyNumberFormat="1" applyFont="1" applyFill="1" applyAlignment="1">
      <alignment horizontal="right"/>
    </xf>
    <xf numFmtId="181" fontId="3" fillId="33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/>
    </xf>
    <xf numFmtId="192" fontId="3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181" fontId="3" fillId="33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45" fillId="0" borderId="18" xfId="0" applyFont="1" applyBorder="1" applyAlignment="1">
      <alignment horizontal="justify" wrapText="1"/>
    </xf>
    <xf numFmtId="49" fontId="3" fillId="33" borderId="11" xfId="53" applyNumberFormat="1" applyFont="1" applyFill="1" applyBorder="1" applyAlignment="1">
      <alignment horizontal="center" vertical="center" shrinkToFit="1"/>
      <protection/>
    </xf>
    <xf numFmtId="196" fontId="3" fillId="33" borderId="11" xfId="0" applyNumberFormat="1" applyFont="1" applyFill="1" applyBorder="1" applyAlignment="1">
      <alignment vertical="center"/>
    </xf>
    <xf numFmtId="19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right"/>
    </xf>
    <xf numFmtId="197" fontId="3" fillId="33" borderId="0" xfId="0" applyNumberFormat="1" applyFont="1" applyFill="1" applyAlignment="1">
      <alignment/>
    </xf>
    <xf numFmtId="197" fontId="3" fillId="33" borderId="0" xfId="61" applyNumberFormat="1" applyFont="1" applyFill="1" applyAlignment="1">
      <alignment/>
    </xf>
    <xf numFmtId="181" fontId="3" fillId="33" borderId="0" xfId="61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97" fontId="4" fillId="0" borderId="11" xfId="61" applyNumberFormat="1" applyFont="1" applyFill="1" applyBorder="1" applyAlignment="1">
      <alignment horizontal="center"/>
    </xf>
    <xf numFmtId="197" fontId="3" fillId="0" borderId="11" xfId="61" applyNumberFormat="1" applyFont="1" applyFill="1" applyBorder="1" applyAlignment="1">
      <alignment horizontal="center"/>
    </xf>
    <xf numFmtId="197" fontId="3" fillId="0" borderId="11" xfId="0" applyNumberFormat="1" applyFont="1" applyFill="1" applyBorder="1" applyAlignment="1">
      <alignment horizontal="center"/>
    </xf>
    <xf numFmtId="197" fontId="3" fillId="0" borderId="12" xfId="61" applyNumberFormat="1" applyFont="1" applyFill="1" applyBorder="1" applyAlignment="1">
      <alignment horizontal="center"/>
    </xf>
    <xf numFmtId="197" fontId="4" fillId="33" borderId="11" xfId="61" applyNumberFormat="1" applyFont="1" applyFill="1" applyBorder="1" applyAlignment="1">
      <alignment horizontal="center"/>
    </xf>
    <xf numFmtId="197" fontId="3" fillId="0" borderId="15" xfId="61" applyNumberFormat="1" applyFont="1" applyFill="1" applyBorder="1" applyAlignment="1">
      <alignment horizontal="center"/>
    </xf>
    <xf numFmtId="197" fontId="3" fillId="0" borderId="17" xfId="61" applyNumberFormat="1" applyFont="1" applyFill="1" applyBorder="1" applyAlignment="1">
      <alignment horizontal="center"/>
    </xf>
    <xf numFmtId="197" fontId="3" fillId="0" borderId="10" xfId="61" applyNumberFormat="1" applyFont="1" applyFill="1" applyBorder="1" applyAlignment="1">
      <alignment horizontal="center"/>
    </xf>
    <xf numFmtId="197" fontId="3" fillId="33" borderId="11" xfId="0" applyNumberFormat="1" applyFont="1" applyFill="1" applyBorder="1" applyAlignment="1">
      <alignment horizontal="center"/>
    </xf>
    <xf numFmtId="197" fontId="3" fillId="33" borderId="11" xfId="61" applyNumberFormat="1" applyFont="1" applyFill="1" applyBorder="1" applyAlignment="1">
      <alignment horizontal="center"/>
    </xf>
    <xf numFmtId="197" fontId="3" fillId="0" borderId="0" xfId="61" applyNumberFormat="1" applyFont="1" applyFill="1" applyBorder="1" applyAlignment="1">
      <alignment horizontal="center"/>
    </xf>
    <xf numFmtId="197" fontId="3" fillId="0" borderId="0" xfId="61" applyNumberFormat="1" applyFont="1" applyFill="1" applyAlignment="1">
      <alignment horizontal="center"/>
    </xf>
    <xf numFmtId="197" fontId="3" fillId="0" borderId="10" xfId="0" applyNumberFormat="1" applyFont="1" applyFill="1" applyBorder="1" applyAlignment="1">
      <alignment horizontal="center"/>
    </xf>
    <xf numFmtId="197" fontId="3" fillId="0" borderId="0" xfId="61" applyNumberFormat="1" applyFont="1" applyFill="1" applyAlignment="1">
      <alignment/>
    </xf>
    <xf numFmtId="197" fontId="3" fillId="33" borderId="0" xfId="61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1" fontId="3" fillId="33" borderId="12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tabSelected="1" zoomScalePageLayoutView="0" workbookViewId="0" topLeftCell="B20">
      <selection activeCell="B26" sqref="A26:IV26"/>
    </sheetView>
  </sheetViews>
  <sheetFormatPr defaultColWidth="9.00390625" defaultRowHeight="12.75"/>
  <cols>
    <col min="1" max="1" width="0" style="71" hidden="1" customWidth="1"/>
    <col min="2" max="2" width="67.125" style="71" customWidth="1"/>
    <col min="3" max="3" width="5.00390625" style="71" customWidth="1"/>
    <col min="4" max="4" width="5.75390625" style="71" customWidth="1"/>
    <col min="5" max="5" width="16.375" style="71" hidden="1" customWidth="1"/>
    <col min="6" max="6" width="21.00390625" style="71" customWidth="1"/>
    <col min="7" max="7" width="20.00390625" style="71" customWidth="1"/>
    <col min="8" max="8" width="11.25390625" style="71" customWidth="1"/>
    <col min="9" max="16384" width="9.125" style="71" customWidth="1"/>
  </cols>
  <sheetData>
    <row r="1" spans="2:7" ht="15.75">
      <c r="B1" s="55"/>
      <c r="C1" s="55"/>
      <c r="D1" s="55"/>
      <c r="E1" s="55"/>
      <c r="G1" s="55" t="s">
        <v>170</v>
      </c>
    </row>
    <row r="2" spans="2:7" ht="15.75">
      <c r="B2" s="55"/>
      <c r="C2" s="55"/>
      <c r="D2" s="55"/>
      <c r="E2" s="55"/>
      <c r="G2" s="55" t="s">
        <v>67</v>
      </c>
    </row>
    <row r="3" spans="2:7" ht="15.75">
      <c r="B3" s="55"/>
      <c r="C3" s="55"/>
      <c r="D3" s="55"/>
      <c r="E3" s="55"/>
      <c r="G3" s="55" t="s">
        <v>42</v>
      </c>
    </row>
    <row r="4" spans="2:7" ht="15.75">
      <c r="B4" s="55"/>
      <c r="C4" s="55"/>
      <c r="D4" s="56"/>
      <c r="E4" s="56"/>
      <c r="G4" s="56" t="s">
        <v>180</v>
      </c>
    </row>
    <row r="5" spans="2:5" ht="15.75">
      <c r="B5" s="55"/>
      <c r="C5" s="55"/>
      <c r="D5" s="12"/>
      <c r="E5" s="12"/>
    </row>
    <row r="6" spans="2:8" ht="17.25" customHeight="1">
      <c r="B6" s="112" t="s">
        <v>182</v>
      </c>
      <c r="C6" s="112"/>
      <c r="D6" s="112"/>
      <c r="E6" s="112"/>
      <c r="F6" s="112"/>
      <c r="G6" s="112"/>
      <c r="H6" s="112"/>
    </row>
    <row r="7" spans="2:8" ht="12.75" customHeight="1">
      <c r="B7" s="112"/>
      <c r="C7" s="112"/>
      <c r="D7" s="112"/>
      <c r="E7" s="112"/>
      <c r="F7" s="112"/>
      <c r="G7" s="112"/>
      <c r="H7" s="112"/>
    </row>
    <row r="8" spans="2:7" ht="15.75">
      <c r="B8" s="55"/>
      <c r="C8" s="55"/>
      <c r="D8" s="55"/>
      <c r="E8" s="55"/>
      <c r="G8" s="72" t="s">
        <v>179</v>
      </c>
    </row>
    <row r="9" spans="2:8" ht="34.5" customHeight="1">
      <c r="B9" s="57" t="s">
        <v>0</v>
      </c>
      <c r="C9" s="57" t="s">
        <v>38</v>
      </c>
      <c r="D9" s="57" t="s">
        <v>39</v>
      </c>
      <c r="E9" s="57" t="s">
        <v>6</v>
      </c>
      <c r="F9" s="73" t="s">
        <v>175</v>
      </c>
      <c r="G9" s="57" t="s">
        <v>176</v>
      </c>
      <c r="H9" s="58" t="s">
        <v>173</v>
      </c>
    </row>
    <row r="10" spans="2:8" ht="47.25" hidden="1">
      <c r="B10" s="59"/>
      <c r="C10" s="59"/>
      <c r="D10" s="59"/>
      <c r="E10" s="57" t="s">
        <v>68</v>
      </c>
      <c r="H10" s="60" t="s">
        <v>173</v>
      </c>
    </row>
    <row r="11" spans="2:8" ht="15.75">
      <c r="B11" s="61" t="s">
        <v>50</v>
      </c>
      <c r="C11" s="21"/>
      <c r="D11" s="21"/>
      <c r="E11" s="62" t="e">
        <f>E12+E23+E29+E34+E39+E42+E46+E48+E50</f>
        <v>#REF!</v>
      </c>
      <c r="F11" s="74">
        <f>F12+F23+F29+F34+F39+F42+F46+F48+F50+F21</f>
        <v>1949121.6414299998</v>
      </c>
      <c r="G11" s="74">
        <f>G12+G23+G29+G34+G39+G42+G46+G48+G50+G21</f>
        <v>1857014.1046300002</v>
      </c>
      <c r="H11" s="63">
        <f>G11/F11*100</f>
        <v>95.27440797730696</v>
      </c>
    </row>
    <row r="12" spans="2:8" ht="15.75">
      <c r="B12" s="64" t="s">
        <v>7</v>
      </c>
      <c r="C12" s="17" t="s">
        <v>8</v>
      </c>
      <c r="D12" s="17" t="s">
        <v>9</v>
      </c>
      <c r="E12" s="65" t="e">
        <f>SUM(E13:E20)</f>
        <v>#REF!</v>
      </c>
      <c r="F12" s="74">
        <f>SUM(F13:F20)</f>
        <v>138222.33354</v>
      </c>
      <c r="G12" s="74">
        <f>SUM(G13:G20)</f>
        <v>131739.79139</v>
      </c>
      <c r="H12" s="63">
        <f aca="true" t="shared" si="0" ref="H12:H51">G12/F12*100</f>
        <v>95.31006170712347</v>
      </c>
    </row>
    <row r="13" spans="2:8" ht="31.5">
      <c r="B13" s="20" t="s">
        <v>74</v>
      </c>
      <c r="C13" s="21" t="s">
        <v>8</v>
      </c>
      <c r="D13" s="21" t="s">
        <v>18</v>
      </c>
      <c r="E13" s="62">
        <f>'2016 г.вед'!G47</f>
        <v>0</v>
      </c>
      <c r="F13" s="75">
        <v>1393.57893</v>
      </c>
      <c r="G13" s="75">
        <v>1393.57893</v>
      </c>
      <c r="H13" s="63">
        <f t="shared" si="0"/>
        <v>100</v>
      </c>
    </row>
    <row r="14" spans="2:8" ht="47.25">
      <c r="B14" s="36" t="s">
        <v>51</v>
      </c>
      <c r="C14" s="21" t="s">
        <v>8</v>
      </c>
      <c r="D14" s="21" t="s">
        <v>10</v>
      </c>
      <c r="E14" s="62" t="e">
        <f>'2016 г.вед'!#REF!</f>
        <v>#REF!</v>
      </c>
      <c r="F14" s="75">
        <v>4466</v>
      </c>
      <c r="G14" s="75">
        <v>4304.4283</v>
      </c>
      <c r="H14" s="63">
        <f t="shared" si="0"/>
        <v>96.3821831616659</v>
      </c>
    </row>
    <row r="15" spans="2:8" ht="47.25">
      <c r="B15" s="20" t="s">
        <v>52</v>
      </c>
      <c r="C15" s="21" t="s">
        <v>8</v>
      </c>
      <c r="D15" s="21" t="s">
        <v>12</v>
      </c>
      <c r="E15" s="66" t="e">
        <f>'2016 г.вед'!G14+'2016 г.вед'!G51+'2016 г.вед'!G653</f>
        <v>#REF!</v>
      </c>
      <c r="F15" s="76">
        <v>101318.95932</v>
      </c>
      <c r="G15" s="76">
        <v>97920.19531</v>
      </c>
      <c r="H15" s="63">
        <f t="shared" si="0"/>
        <v>96.64548073449359</v>
      </c>
    </row>
    <row r="16" spans="2:8" ht="15.75">
      <c r="B16" s="20" t="s">
        <v>178</v>
      </c>
      <c r="C16" s="21" t="s">
        <v>8</v>
      </c>
      <c r="D16" s="21" t="s">
        <v>22</v>
      </c>
      <c r="E16" s="66"/>
      <c r="F16" s="76">
        <v>68.982</v>
      </c>
      <c r="G16" s="76">
        <v>21.358</v>
      </c>
      <c r="H16" s="63"/>
    </row>
    <row r="17" spans="2:8" ht="30.75" customHeight="1">
      <c r="B17" s="20" t="s">
        <v>75</v>
      </c>
      <c r="C17" s="21" t="s">
        <v>8</v>
      </c>
      <c r="D17" s="21" t="s">
        <v>13</v>
      </c>
      <c r="E17" s="62">
        <f>'2016 г.вед'!G696+'2016 г.вед'!G561</f>
        <v>0</v>
      </c>
      <c r="F17" s="75">
        <v>11321.605</v>
      </c>
      <c r="G17" s="75">
        <v>10866.42045</v>
      </c>
      <c r="H17" s="63">
        <f t="shared" si="0"/>
        <v>95.9795051143367</v>
      </c>
    </row>
    <row r="18" spans="2:8" ht="15.75" hidden="1">
      <c r="B18" s="20" t="s">
        <v>69</v>
      </c>
      <c r="C18" s="21" t="s">
        <v>8</v>
      </c>
      <c r="D18" s="21" t="s">
        <v>26</v>
      </c>
      <c r="E18" s="62" t="e">
        <f>'2016 г.вед'!G326</f>
        <v>#REF!</v>
      </c>
      <c r="F18" s="75"/>
      <c r="G18" s="75"/>
      <c r="H18" s="63" t="e">
        <f t="shared" si="0"/>
        <v>#DIV/0!</v>
      </c>
    </row>
    <row r="19" spans="2:8" ht="15.75">
      <c r="B19" s="20" t="s">
        <v>16</v>
      </c>
      <c r="C19" s="21" t="s">
        <v>8</v>
      </c>
      <c r="D19" s="21" t="s">
        <v>48</v>
      </c>
      <c r="E19" s="62">
        <f>'2016 г.вед'!G77</f>
        <v>0</v>
      </c>
      <c r="F19" s="75">
        <v>2000</v>
      </c>
      <c r="G19" s="75">
        <f>'2016 г.вед'!I77+'2016 г.вед'!I576</f>
        <v>536</v>
      </c>
      <c r="H19" s="63">
        <f t="shared" si="0"/>
        <v>26.8</v>
      </c>
    </row>
    <row r="20" spans="2:8" ht="15.75">
      <c r="B20" s="20" t="s">
        <v>17</v>
      </c>
      <c r="C20" s="21" t="s">
        <v>8</v>
      </c>
      <c r="D20" s="21" t="s">
        <v>70</v>
      </c>
      <c r="E20" s="62" t="e">
        <f>'2016 г.вед'!G27+'2016 г.вед'!G83+'2016 г.вед'!G577+'2016 г.вед'!#REF!</f>
        <v>#REF!</v>
      </c>
      <c r="F20" s="75">
        <v>17653.20829</v>
      </c>
      <c r="G20" s="75">
        <v>16697.8104</v>
      </c>
      <c r="H20" s="63">
        <f t="shared" si="0"/>
        <v>94.58796455406237</v>
      </c>
    </row>
    <row r="21" spans="2:8" ht="30" customHeight="1">
      <c r="B21" s="52" t="s">
        <v>161</v>
      </c>
      <c r="C21" s="17" t="s">
        <v>10</v>
      </c>
      <c r="D21" s="17" t="s">
        <v>9</v>
      </c>
      <c r="E21" s="65"/>
      <c r="F21" s="74">
        <f>F22</f>
        <v>7375.5</v>
      </c>
      <c r="G21" s="74">
        <f>G22</f>
        <v>7325.12188</v>
      </c>
      <c r="H21" s="63">
        <f t="shared" si="0"/>
        <v>99.31695315571825</v>
      </c>
    </row>
    <row r="22" spans="2:8" ht="31.5" customHeight="1">
      <c r="B22" s="20" t="s">
        <v>160</v>
      </c>
      <c r="C22" s="21" t="s">
        <v>10</v>
      </c>
      <c r="D22" s="21" t="s">
        <v>19</v>
      </c>
      <c r="E22" s="62"/>
      <c r="F22" s="75">
        <v>7375.5</v>
      </c>
      <c r="G22" s="75">
        <v>7325.12188</v>
      </c>
      <c r="H22" s="63">
        <f t="shared" si="0"/>
        <v>99.31695315571825</v>
      </c>
    </row>
    <row r="23" spans="2:8" ht="15.75">
      <c r="B23" s="52" t="s">
        <v>43</v>
      </c>
      <c r="C23" s="17" t="s">
        <v>12</v>
      </c>
      <c r="D23" s="17" t="s">
        <v>9</v>
      </c>
      <c r="E23" s="65" t="e">
        <f>SUM(E25:E28)</f>
        <v>#REF!</v>
      </c>
      <c r="F23" s="74">
        <f>SUM(F24:F28)</f>
        <v>388946.6597</v>
      </c>
      <c r="G23" s="74">
        <f>SUM(G24:G28)</f>
        <v>373997.5751</v>
      </c>
      <c r="H23" s="63">
        <f t="shared" si="0"/>
        <v>96.15652063665222</v>
      </c>
    </row>
    <row r="24" spans="2:8" ht="15.75">
      <c r="B24" s="20" t="s">
        <v>162</v>
      </c>
      <c r="C24" s="21" t="s">
        <v>12</v>
      </c>
      <c r="D24" s="21" t="s">
        <v>13</v>
      </c>
      <c r="E24" s="62"/>
      <c r="F24" s="75">
        <v>192669.9</v>
      </c>
      <c r="G24" s="75">
        <v>192669.9</v>
      </c>
      <c r="H24" s="63">
        <f t="shared" si="0"/>
        <v>100</v>
      </c>
    </row>
    <row r="25" spans="2:8" ht="15.75">
      <c r="B25" s="20" t="s">
        <v>46</v>
      </c>
      <c r="C25" s="21" t="s">
        <v>12</v>
      </c>
      <c r="D25" s="21" t="s">
        <v>26</v>
      </c>
      <c r="E25" s="62" t="e">
        <f>'2016 г.вед'!#REF!</f>
        <v>#REF!</v>
      </c>
      <c r="F25" s="75">
        <v>4972.369</v>
      </c>
      <c r="G25" s="75">
        <v>4900.693</v>
      </c>
      <c r="H25" s="63">
        <f t="shared" si="0"/>
        <v>98.5585140604006</v>
      </c>
    </row>
    <row r="26" spans="2:8" ht="15.75" hidden="1">
      <c r="B26" s="20" t="s">
        <v>167</v>
      </c>
      <c r="C26" s="21" t="s">
        <v>12</v>
      </c>
      <c r="D26" s="21" t="s">
        <v>31</v>
      </c>
      <c r="E26" s="62"/>
      <c r="F26" s="75"/>
      <c r="G26" s="75"/>
      <c r="H26" s="63" t="e">
        <f t="shared" si="0"/>
        <v>#DIV/0!</v>
      </c>
    </row>
    <row r="27" spans="2:8" ht="15.75">
      <c r="B27" s="20" t="s">
        <v>54</v>
      </c>
      <c r="C27" s="21" t="s">
        <v>12</v>
      </c>
      <c r="D27" s="21" t="s">
        <v>19</v>
      </c>
      <c r="E27" s="62" t="e">
        <f>'2016 г.вед'!#REF!+'2016 г.вед'!G122</f>
        <v>#REF!</v>
      </c>
      <c r="F27" s="75">
        <v>175013.61596</v>
      </c>
      <c r="G27" s="75">
        <v>160407.98842</v>
      </c>
      <c r="H27" s="63">
        <f t="shared" si="0"/>
        <v>91.6545764397336</v>
      </c>
    </row>
    <row r="28" spans="2:8" ht="15.75">
      <c r="B28" s="20" t="s">
        <v>49</v>
      </c>
      <c r="C28" s="21" t="s">
        <v>12</v>
      </c>
      <c r="D28" s="21" t="s">
        <v>15</v>
      </c>
      <c r="E28" s="62" t="e">
        <f>'2016 г.вед'!G130+'2016 г.вед'!#REF!</f>
        <v>#REF!</v>
      </c>
      <c r="F28" s="75">
        <v>16290.77474</v>
      </c>
      <c r="G28" s="75">
        <v>16018.99368</v>
      </c>
      <c r="H28" s="63">
        <f t="shared" si="0"/>
        <v>98.33168732403699</v>
      </c>
    </row>
    <row r="29" spans="2:8" ht="15.75">
      <c r="B29" s="52" t="s">
        <v>21</v>
      </c>
      <c r="C29" s="17" t="s">
        <v>22</v>
      </c>
      <c r="D29" s="17" t="s">
        <v>9</v>
      </c>
      <c r="E29" s="65" t="e">
        <f>SUM(E30:E33)</f>
        <v>#REF!</v>
      </c>
      <c r="F29" s="74">
        <f>SUM(F30:F33)</f>
        <v>347077.81230999995</v>
      </c>
      <c r="G29" s="74">
        <f>SUM(G30:G33)</f>
        <v>288946.37661000004</v>
      </c>
      <c r="H29" s="63">
        <f t="shared" si="0"/>
        <v>83.25118067527791</v>
      </c>
    </row>
    <row r="30" spans="2:8" ht="15.75">
      <c r="B30" s="20" t="s">
        <v>23</v>
      </c>
      <c r="C30" s="21" t="s">
        <v>22</v>
      </c>
      <c r="D30" s="21" t="s">
        <v>8</v>
      </c>
      <c r="E30" s="62">
        <f>'2016 г.вед'!G162+'2016 г.вед'!G681</f>
        <v>0</v>
      </c>
      <c r="F30" s="75">
        <v>88276.85709</v>
      </c>
      <c r="G30" s="75">
        <v>59078.66557</v>
      </c>
      <c r="H30" s="63">
        <f t="shared" si="0"/>
        <v>66.92429648890663</v>
      </c>
    </row>
    <row r="31" spans="2:8" ht="15.75">
      <c r="B31" s="20" t="s">
        <v>24</v>
      </c>
      <c r="C31" s="21" t="s">
        <v>22</v>
      </c>
      <c r="D31" s="21" t="s">
        <v>18</v>
      </c>
      <c r="E31" s="62" t="e">
        <f>'2016 г.вед'!G175+'2016 г.вед'!G586</f>
        <v>#REF!</v>
      </c>
      <c r="F31" s="75">
        <v>112534.11889</v>
      </c>
      <c r="G31" s="75">
        <v>112233.43818</v>
      </c>
      <c r="H31" s="63">
        <f t="shared" si="0"/>
        <v>99.7328092911147</v>
      </c>
    </row>
    <row r="32" spans="2:8" ht="15.75">
      <c r="B32" s="20" t="s">
        <v>47</v>
      </c>
      <c r="C32" s="21" t="s">
        <v>22</v>
      </c>
      <c r="D32" s="21" t="s">
        <v>10</v>
      </c>
      <c r="E32" s="62" t="e">
        <f>'2016 г.вед'!#REF!</f>
        <v>#REF!</v>
      </c>
      <c r="F32" s="75">
        <v>126040.31733</v>
      </c>
      <c r="G32" s="75">
        <v>97743.40185</v>
      </c>
      <c r="H32" s="63">
        <f t="shared" si="0"/>
        <v>77.54931431510701</v>
      </c>
    </row>
    <row r="33" spans="2:8" ht="18" customHeight="1">
      <c r="B33" s="20" t="s">
        <v>41</v>
      </c>
      <c r="C33" s="21" t="s">
        <v>22</v>
      </c>
      <c r="D33" s="21" t="s">
        <v>22</v>
      </c>
      <c r="E33" s="62">
        <f>'2016 г.вед'!G622</f>
        <v>0</v>
      </c>
      <c r="F33" s="75">
        <v>20226.519</v>
      </c>
      <c r="G33" s="75">
        <v>19890.87101</v>
      </c>
      <c r="H33" s="63">
        <f t="shared" si="0"/>
        <v>98.34055484287731</v>
      </c>
    </row>
    <row r="34" spans="2:8" ht="15.75">
      <c r="B34" s="52" t="s">
        <v>25</v>
      </c>
      <c r="C34" s="17" t="s">
        <v>26</v>
      </c>
      <c r="D34" s="17" t="s">
        <v>9</v>
      </c>
      <c r="E34" s="65" t="e">
        <f>SUM(E35:E38)</f>
        <v>#REF!</v>
      </c>
      <c r="F34" s="74">
        <f>SUM(F35:F38)</f>
        <v>871349.19618</v>
      </c>
      <c r="G34" s="74">
        <f>SUM(G35:G38)</f>
        <v>865930.4215300002</v>
      </c>
      <c r="H34" s="63">
        <f t="shared" si="0"/>
        <v>99.37811675574434</v>
      </c>
    </row>
    <row r="35" spans="2:8" ht="15.75">
      <c r="B35" s="20" t="s">
        <v>27</v>
      </c>
      <c r="C35" s="21" t="s">
        <v>26</v>
      </c>
      <c r="D35" s="21" t="s">
        <v>8</v>
      </c>
      <c r="E35" s="62">
        <f>'2016 г.вед'!G419+'2016 г.вед'!G212</f>
        <v>0</v>
      </c>
      <c r="F35" s="75">
        <v>273561.58262</v>
      </c>
      <c r="G35" s="75">
        <v>270990.90356</v>
      </c>
      <c r="H35" s="63">
        <f t="shared" si="0"/>
        <v>99.06029237169209</v>
      </c>
    </row>
    <row r="36" spans="2:8" ht="15.75">
      <c r="B36" s="20" t="s">
        <v>28</v>
      </c>
      <c r="C36" s="21" t="s">
        <v>26</v>
      </c>
      <c r="D36" s="21" t="s">
        <v>18</v>
      </c>
      <c r="E36" s="62" t="e">
        <f>'2016 г.вед'!#REF!+'2016 г.вед'!#REF!+'2016 г.вед'!#REF!</f>
        <v>#REF!</v>
      </c>
      <c r="F36" s="75">
        <v>540199.21731</v>
      </c>
      <c r="G36" s="75">
        <v>537904.36299</v>
      </c>
      <c r="H36" s="63">
        <f t="shared" si="0"/>
        <v>99.5751837014079</v>
      </c>
    </row>
    <row r="37" spans="2:8" ht="15.75">
      <c r="B37" s="20" t="s">
        <v>29</v>
      </c>
      <c r="C37" s="21" t="s">
        <v>26</v>
      </c>
      <c r="D37" s="21" t="s">
        <v>26</v>
      </c>
      <c r="E37" s="62">
        <f>'2016 г.вед'!G531</f>
        <v>0</v>
      </c>
      <c r="F37" s="75">
        <v>16258.83425</v>
      </c>
      <c r="G37" s="75">
        <v>16077.62117</v>
      </c>
      <c r="H37" s="63">
        <f t="shared" si="0"/>
        <v>98.88544850624822</v>
      </c>
    </row>
    <row r="38" spans="2:8" ht="15.75">
      <c r="B38" s="20" t="s">
        <v>30</v>
      </c>
      <c r="C38" s="21" t="s">
        <v>26</v>
      </c>
      <c r="D38" s="21" t="s">
        <v>19</v>
      </c>
      <c r="E38" s="62" t="e">
        <f>'2016 г.вед'!#REF!</f>
        <v>#REF!</v>
      </c>
      <c r="F38" s="75">
        <v>41329.562</v>
      </c>
      <c r="G38" s="75">
        <v>40957.53381</v>
      </c>
      <c r="H38" s="63">
        <f t="shared" si="0"/>
        <v>99.09984966692849</v>
      </c>
    </row>
    <row r="39" spans="2:8" ht="15.75">
      <c r="B39" s="52" t="s">
        <v>76</v>
      </c>
      <c r="C39" s="17" t="s">
        <v>31</v>
      </c>
      <c r="D39" s="17" t="s">
        <v>9</v>
      </c>
      <c r="E39" s="65" t="e">
        <f>SUM(E40:E41)</f>
        <v>#REF!</v>
      </c>
      <c r="F39" s="74">
        <f>SUM(F40:F41)</f>
        <v>26510.09438</v>
      </c>
      <c r="G39" s="74">
        <f>SUM(G40:G41)</f>
        <v>25532.682409999998</v>
      </c>
      <c r="H39" s="63">
        <f t="shared" si="0"/>
        <v>96.31305737358147</v>
      </c>
    </row>
    <row r="40" spans="2:8" ht="15.75">
      <c r="B40" s="20" t="s">
        <v>32</v>
      </c>
      <c r="C40" s="21" t="s">
        <v>31</v>
      </c>
      <c r="D40" s="21" t="s">
        <v>8</v>
      </c>
      <c r="E40" s="62">
        <f>'2016 г.вед'!G351</f>
        <v>0</v>
      </c>
      <c r="F40" s="75">
        <v>20573.79438</v>
      </c>
      <c r="G40" s="75">
        <v>19974.90903</v>
      </c>
      <c r="H40" s="63">
        <f t="shared" si="0"/>
        <v>97.089086539223</v>
      </c>
    </row>
    <row r="41" spans="2:8" ht="15.75">
      <c r="B41" s="20" t="s">
        <v>72</v>
      </c>
      <c r="C41" s="21" t="s">
        <v>31</v>
      </c>
      <c r="D41" s="21" t="s">
        <v>12</v>
      </c>
      <c r="E41" s="62" t="e">
        <f>'2016 г.вед'!#REF!</f>
        <v>#REF!</v>
      </c>
      <c r="F41" s="75">
        <v>5936.3</v>
      </c>
      <c r="G41" s="75">
        <v>5557.77338</v>
      </c>
      <c r="H41" s="63">
        <f t="shared" si="0"/>
        <v>93.62352610211747</v>
      </c>
    </row>
    <row r="42" spans="2:8" ht="15.75">
      <c r="B42" s="52" t="s">
        <v>34</v>
      </c>
      <c r="C42" s="17" t="s">
        <v>20</v>
      </c>
      <c r="D42" s="17" t="s">
        <v>9</v>
      </c>
      <c r="E42" s="67" t="e">
        <f>SUM(E43:E45)</f>
        <v>#REF!</v>
      </c>
      <c r="F42" s="74">
        <f>SUM(F43:F45)</f>
        <v>58059.834820000004</v>
      </c>
      <c r="G42" s="74">
        <f>SUM(G43:G45)</f>
        <v>53138.63486</v>
      </c>
      <c r="H42" s="63">
        <f t="shared" si="0"/>
        <v>91.52391670548676</v>
      </c>
    </row>
    <row r="43" spans="2:8" ht="15.75">
      <c r="B43" s="20" t="s">
        <v>35</v>
      </c>
      <c r="C43" s="21" t="s">
        <v>20</v>
      </c>
      <c r="D43" s="21" t="s">
        <v>8</v>
      </c>
      <c r="E43" s="68" t="e">
        <f>'2016 г.вед'!#REF!</f>
        <v>#REF!</v>
      </c>
      <c r="F43" s="75">
        <v>1450</v>
      </c>
      <c r="G43" s="75">
        <v>1444.58069</v>
      </c>
      <c r="H43" s="63">
        <f t="shared" si="0"/>
        <v>99.62625448275863</v>
      </c>
    </row>
    <row r="44" spans="2:8" ht="15.75">
      <c r="B44" s="20" t="s">
        <v>36</v>
      </c>
      <c r="C44" s="21" t="s">
        <v>20</v>
      </c>
      <c r="D44" s="21" t="s">
        <v>10</v>
      </c>
      <c r="E44" s="68" t="e">
        <f>'2016 г.вед'!G42+'2016 г.вед'!#REF!+'2016 г.вед'!G548+'2016 г.вед'!#REF!</f>
        <v>#REF!</v>
      </c>
      <c r="F44" s="75">
        <v>31646.79782</v>
      </c>
      <c r="G44" s="75">
        <v>26731.01717</v>
      </c>
      <c r="H44" s="63">
        <f t="shared" si="0"/>
        <v>84.46673600924846</v>
      </c>
    </row>
    <row r="45" spans="2:8" ht="15.75">
      <c r="B45" s="20" t="s">
        <v>37</v>
      </c>
      <c r="C45" s="21" t="s">
        <v>20</v>
      </c>
      <c r="D45" s="21" t="s">
        <v>12</v>
      </c>
      <c r="E45" s="68">
        <f>'2016 г.вед'!G553</f>
        <v>0</v>
      </c>
      <c r="F45" s="75">
        <v>24963.037</v>
      </c>
      <c r="G45" s="75">
        <v>24963.037</v>
      </c>
      <c r="H45" s="63">
        <f t="shared" si="0"/>
        <v>100</v>
      </c>
    </row>
    <row r="46" spans="2:8" ht="15.75">
      <c r="B46" s="52" t="s">
        <v>77</v>
      </c>
      <c r="C46" s="64">
        <v>11</v>
      </c>
      <c r="D46" s="17" t="s">
        <v>9</v>
      </c>
      <c r="E46" s="69" t="e">
        <f>E47</f>
        <v>#REF!</v>
      </c>
      <c r="F46" s="74">
        <f>F47</f>
        <v>1930.53</v>
      </c>
      <c r="G46" s="74">
        <f>G47</f>
        <v>1924.60357</v>
      </c>
      <c r="H46" s="63">
        <f t="shared" si="0"/>
        <v>99.69301538955624</v>
      </c>
    </row>
    <row r="47" spans="2:8" ht="15.75">
      <c r="B47" s="20" t="s">
        <v>71</v>
      </c>
      <c r="C47" s="59">
        <v>11</v>
      </c>
      <c r="D47" s="21" t="s">
        <v>8</v>
      </c>
      <c r="E47" s="70" t="e">
        <f>'2016 г.вед'!#REF!</f>
        <v>#REF!</v>
      </c>
      <c r="F47" s="75">
        <v>1930.53</v>
      </c>
      <c r="G47" s="75">
        <v>1924.60357</v>
      </c>
      <c r="H47" s="63">
        <f t="shared" si="0"/>
        <v>99.69301538955624</v>
      </c>
    </row>
    <row r="48" spans="2:8" ht="15.75">
      <c r="B48" s="52" t="s">
        <v>78</v>
      </c>
      <c r="C48" s="64">
        <v>12</v>
      </c>
      <c r="D48" s="17" t="s">
        <v>9</v>
      </c>
      <c r="E48" s="69">
        <f>E49</f>
        <v>0</v>
      </c>
      <c r="F48" s="74">
        <f>F49</f>
        <v>2466.248</v>
      </c>
      <c r="G48" s="74">
        <f>G49</f>
        <v>2466.248</v>
      </c>
      <c r="H48" s="63">
        <f t="shared" si="0"/>
        <v>100</v>
      </c>
    </row>
    <row r="49" spans="2:8" ht="15.75">
      <c r="B49" s="20" t="s">
        <v>33</v>
      </c>
      <c r="C49" s="59">
        <v>12</v>
      </c>
      <c r="D49" s="21" t="s">
        <v>18</v>
      </c>
      <c r="E49" s="59">
        <f>'2016 г.вед'!G298</f>
        <v>0</v>
      </c>
      <c r="F49" s="75">
        <v>2466.248</v>
      </c>
      <c r="G49" s="75">
        <v>2466.248</v>
      </c>
      <c r="H49" s="63">
        <f t="shared" si="0"/>
        <v>100</v>
      </c>
    </row>
    <row r="50" spans="2:8" ht="16.5" customHeight="1">
      <c r="B50" s="52" t="s">
        <v>14</v>
      </c>
      <c r="C50" s="64">
        <v>13</v>
      </c>
      <c r="D50" s="17" t="s">
        <v>9</v>
      </c>
      <c r="E50" s="69" t="e">
        <f>E51</f>
        <v>#REF!</v>
      </c>
      <c r="F50" s="74">
        <f>F51</f>
        <v>107183.4325</v>
      </c>
      <c r="G50" s="74">
        <f>G51</f>
        <v>106012.64928</v>
      </c>
      <c r="H50" s="63">
        <f t="shared" si="0"/>
        <v>98.90768265888481</v>
      </c>
    </row>
    <row r="51" spans="2:8" ht="17.25" customHeight="1">
      <c r="B51" s="20" t="s">
        <v>73</v>
      </c>
      <c r="C51" s="59">
        <v>13</v>
      </c>
      <c r="D51" s="21" t="s">
        <v>8</v>
      </c>
      <c r="E51" s="59" t="e">
        <f>'2016 г.вед'!#REF!</f>
        <v>#REF!</v>
      </c>
      <c r="F51" s="75">
        <v>107183.4325</v>
      </c>
      <c r="G51" s="75">
        <v>106012.64928</v>
      </c>
      <c r="H51" s="63">
        <f t="shared" si="0"/>
        <v>98.90768265888481</v>
      </c>
    </row>
  </sheetData>
  <sheetProtection/>
  <mergeCells count="1">
    <mergeCell ref="B6:H7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0"/>
  <sheetViews>
    <sheetView zoomScale="80" zoomScaleNormal="80" zoomScalePageLayoutView="0" workbookViewId="0" topLeftCell="A1">
      <pane ySplit="11" topLeftCell="A958" activePane="bottomLeft" state="frozen"/>
      <selection pane="topLeft" activeCell="A1" sqref="A1"/>
      <selection pane="bottomLeft" activeCell="A1" sqref="A1:J979"/>
    </sheetView>
  </sheetViews>
  <sheetFormatPr defaultColWidth="9.00390625" defaultRowHeight="12.75"/>
  <cols>
    <col min="1" max="1" width="79.125" style="1" customWidth="1"/>
    <col min="2" max="2" width="6.375" style="2" customWidth="1"/>
    <col min="3" max="3" width="5.00390625" style="2" customWidth="1"/>
    <col min="4" max="4" width="4.75390625" style="2" customWidth="1"/>
    <col min="5" max="5" width="14.625" style="2" customWidth="1"/>
    <col min="6" max="6" width="5.875" style="2" customWidth="1"/>
    <col min="7" max="7" width="0.12890625" style="43" customWidth="1"/>
    <col min="8" max="8" width="22.75390625" style="43" customWidth="1"/>
    <col min="9" max="9" width="23.25390625" style="43" customWidth="1"/>
    <col min="10" max="10" width="14.125" style="2" customWidth="1"/>
    <col min="11" max="16384" width="9.125" style="2" customWidth="1"/>
  </cols>
  <sheetData>
    <row r="1" spans="8:9" ht="15.75">
      <c r="H1" s="44"/>
      <c r="I1" s="44" t="s">
        <v>177</v>
      </c>
    </row>
    <row r="2" spans="8:9" ht="15.75">
      <c r="H2" s="44"/>
      <c r="I2" s="44" t="s">
        <v>67</v>
      </c>
    </row>
    <row r="3" spans="1:9" ht="15.75">
      <c r="A3" s="4"/>
      <c r="H3" s="44"/>
      <c r="I3" s="44" t="s">
        <v>42</v>
      </c>
    </row>
    <row r="4" spans="8:9" ht="15.75">
      <c r="H4" s="45"/>
      <c r="I4" s="45" t="s">
        <v>817</v>
      </c>
    </row>
    <row r="6" ht="18.75">
      <c r="A6" s="5" t="s">
        <v>181</v>
      </c>
    </row>
    <row r="7" spans="8:9" ht="15.75">
      <c r="H7" s="3"/>
      <c r="I7" s="50" t="s">
        <v>179</v>
      </c>
    </row>
    <row r="8" spans="1:10" ht="15.75" customHeight="1">
      <c r="A8" s="115" t="s">
        <v>0</v>
      </c>
      <c r="B8" s="118" t="s">
        <v>1</v>
      </c>
      <c r="C8" s="119"/>
      <c r="D8" s="119"/>
      <c r="E8" s="119"/>
      <c r="F8" s="120"/>
      <c r="G8" s="46"/>
      <c r="H8" s="113" t="s">
        <v>174</v>
      </c>
      <c r="I8" s="121" t="s">
        <v>172</v>
      </c>
      <c r="J8" s="117" t="s">
        <v>173</v>
      </c>
    </row>
    <row r="9" spans="1:10" ht="31.5" customHeight="1">
      <c r="A9" s="116"/>
      <c r="B9" s="6" t="s">
        <v>2</v>
      </c>
      <c r="C9" s="6" t="s">
        <v>3</v>
      </c>
      <c r="D9" s="6" t="s">
        <v>40</v>
      </c>
      <c r="E9" s="6" t="s">
        <v>4</v>
      </c>
      <c r="F9" s="6" t="s">
        <v>5</v>
      </c>
      <c r="G9" s="47" t="s">
        <v>68</v>
      </c>
      <c r="H9" s="114"/>
      <c r="I9" s="122"/>
      <c r="J9" s="117"/>
    </row>
    <row r="10" spans="1:10" s="10" customFormat="1" ht="15.75">
      <c r="A10" s="35" t="s">
        <v>50</v>
      </c>
      <c r="B10" s="21"/>
      <c r="C10" s="21"/>
      <c r="D10" s="21"/>
      <c r="E10" s="21"/>
      <c r="F10" s="21"/>
      <c r="G10" s="19" t="e">
        <f>#REF!+#REF!+#REF!</f>
        <v>#REF!</v>
      </c>
      <c r="H10" s="97">
        <f>H440+H537+H750+H805+H885+H12+H56+H404+H958+H11</f>
        <v>1949121.64143</v>
      </c>
      <c r="I10" s="97">
        <f>I440+I537+I750+I805+I885+I12+I56+I404+I958+I11</f>
        <v>1856478.10463</v>
      </c>
      <c r="J10" s="99">
        <f>I10/H10*100</f>
        <v>95.24690841090703</v>
      </c>
    </row>
    <row r="11" spans="1:10" ht="15.75" hidden="1">
      <c r="A11" s="91" t="s">
        <v>80</v>
      </c>
      <c r="B11" s="92"/>
      <c r="C11" s="92"/>
      <c r="D11" s="92"/>
      <c r="E11" s="92"/>
      <c r="F11" s="92"/>
      <c r="G11" s="77"/>
      <c r="H11" s="101"/>
      <c r="I11" s="101"/>
      <c r="J11" s="99" t="e">
        <f aca="true" t="shared" si="0" ref="J11:J53">I11/H11*100</f>
        <v>#DIV/0!</v>
      </c>
    </row>
    <row r="12" spans="1:10" ht="31.5">
      <c r="A12" s="16" t="s">
        <v>66</v>
      </c>
      <c r="B12" s="17" t="s">
        <v>59</v>
      </c>
      <c r="C12" s="17" t="s">
        <v>9</v>
      </c>
      <c r="D12" s="17" t="s">
        <v>9</v>
      </c>
      <c r="E12" s="17"/>
      <c r="F12" s="17"/>
      <c r="G12" s="18" t="e">
        <f>#REF!+#REF!+#REF!</f>
        <v>#REF!</v>
      </c>
      <c r="H12" s="97">
        <f>H13+H41+H49</f>
        <v>13633</v>
      </c>
      <c r="I12" s="97">
        <f>I13+I41+I49</f>
        <v>13249.64269</v>
      </c>
      <c r="J12" s="99">
        <f t="shared" si="0"/>
        <v>97.18801943812807</v>
      </c>
    </row>
    <row r="13" spans="1:10" ht="15.75">
      <c r="A13" s="20" t="s">
        <v>7</v>
      </c>
      <c r="B13" s="21" t="s">
        <v>59</v>
      </c>
      <c r="C13" s="21" t="s">
        <v>8</v>
      </c>
      <c r="D13" s="21" t="s">
        <v>9</v>
      </c>
      <c r="E13" s="21"/>
      <c r="F13" s="21"/>
      <c r="G13" s="19" t="e">
        <f>#REF!+#REF!+#REF!</f>
        <v>#REF!</v>
      </c>
      <c r="H13" s="98">
        <f>H14+H35</f>
        <v>12193</v>
      </c>
      <c r="I13" s="98">
        <f>I14+I35</f>
        <v>11847.44269</v>
      </c>
      <c r="J13" s="99">
        <f t="shared" si="0"/>
        <v>97.165936931026</v>
      </c>
    </row>
    <row r="14" spans="1:10" ht="32.25" customHeight="1">
      <c r="A14" s="20" t="s">
        <v>11</v>
      </c>
      <c r="B14" s="21" t="s">
        <v>59</v>
      </c>
      <c r="C14" s="21" t="s">
        <v>8</v>
      </c>
      <c r="D14" s="21" t="s">
        <v>12</v>
      </c>
      <c r="E14" s="21"/>
      <c r="F14" s="21"/>
      <c r="G14" s="19" t="e">
        <f>#REF!+#REF!+#REF!</f>
        <v>#REF!</v>
      </c>
      <c r="H14" s="99">
        <f>H15</f>
        <v>12133</v>
      </c>
      <c r="I14" s="99">
        <f>I15</f>
        <v>11817.44269</v>
      </c>
      <c r="J14" s="99">
        <f t="shared" si="0"/>
        <v>97.39918148850244</v>
      </c>
    </row>
    <row r="15" spans="1:10" s="12" customFormat="1" ht="47.25">
      <c r="A15" s="20" t="s">
        <v>183</v>
      </c>
      <c r="B15" s="21" t="s">
        <v>59</v>
      </c>
      <c r="C15" s="22" t="s">
        <v>8</v>
      </c>
      <c r="D15" s="22" t="s">
        <v>12</v>
      </c>
      <c r="E15" s="22" t="s">
        <v>184</v>
      </c>
      <c r="F15" s="22"/>
      <c r="G15" s="15"/>
      <c r="H15" s="98">
        <f aca="true" t="shared" si="1" ref="H15:I18">H16</f>
        <v>12133</v>
      </c>
      <c r="I15" s="98">
        <f t="shared" si="1"/>
        <v>11817.44269</v>
      </c>
      <c r="J15" s="99">
        <f t="shared" si="0"/>
        <v>97.39918148850244</v>
      </c>
    </row>
    <row r="16" spans="1:10" s="12" customFormat="1" ht="47.25">
      <c r="A16" s="20" t="s">
        <v>185</v>
      </c>
      <c r="B16" s="21" t="s">
        <v>59</v>
      </c>
      <c r="C16" s="22" t="s">
        <v>8</v>
      </c>
      <c r="D16" s="22" t="s">
        <v>12</v>
      </c>
      <c r="E16" s="22" t="s">
        <v>186</v>
      </c>
      <c r="F16" s="22"/>
      <c r="G16" s="15"/>
      <c r="H16" s="98">
        <f>H17+H33</f>
        <v>12133</v>
      </c>
      <c r="I16" s="98">
        <f>I17+I33</f>
        <v>11817.44269</v>
      </c>
      <c r="J16" s="99">
        <f t="shared" si="0"/>
        <v>97.39918148850244</v>
      </c>
    </row>
    <row r="17" spans="1:10" s="12" customFormat="1" ht="47.25">
      <c r="A17" s="20" t="s">
        <v>187</v>
      </c>
      <c r="B17" s="21" t="s">
        <v>59</v>
      </c>
      <c r="C17" s="22" t="s">
        <v>8</v>
      </c>
      <c r="D17" s="22" t="s">
        <v>12</v>
      </c>
      <c r="E17" s="22" t="s">
        <v>188</v>
      </c>
      <c r="F17" s="22"/>
      <c r="G17" s="15"/>
      <c r="H17" s="98">
        <f>H18+H24</f>
        <v>12106.86</v>
      </c>
      <c r="I17" s="98">
        <f>I18+I24</f>
        <v>11791.30269</v>
      </c>
      <c r="J17" s="99">
        <f t="shared" si="0"/>
        <v>97.39356604437485</v>
      </c>
    </row>
    <row r="18" spans="1:10" s="12" customFormat="1" ht="47.25">
      <c r="A18" s="20" t="s">
        <v>189</v>
      </c>
      <c r="B18" s="21" t="s">
        <v>59</v>
      </c>
      <c r="C18" s="22" t="s">
        <v>8</v>
      </c>
      <c r="D18" s="22" t="s">
        <v>12</v>
      </c>
      <c r="E18" s="22" t="s">
        <v>190</v>
      </c>
      <c r="F18" s="22"/>
      <c r="G18" s="15"/>
      <c r="H18" s="98">
        <f t="shared" si="1"/>
        <v>10991</v>
      </c>
      <c r="I18" s="98">
        <f t="shared" si="1"/>
        <v>10723.24863</v>
      </c>
      <c r="J18" s="99">
        <f t="shared" si="0"/>
        <v>97.56390346647257</v>
      </c>
    </row>
    <row r="19" spans="1:10" s="12" customFormat="1" ht="15.75">
      <c r="A19" s="20" t="s">
        <v>137</v>
      </c>
      <c r="B19" s="21" t="s">
        <v>59</v>
      </c>
      <c r="C19" s="22" t="s">
        <v>8</v>
      </c>
      <c r="D19" s="22" t="s">
        <v>12</v>
      </c>
      <c r="E19" s="22" t="s">
        <v>190</v>
      </c>
      <c r="F19" s="22" t="s">
        <v>81</v>
      </c>
      <c r="G19" s="15" t="e">
        <f>#REF!+#REF!+#REF!</f>
        <v>#REF!</v>
      </c>
      <c r="H19" s="100">
        <f>H20+H21+H22+H23</f>
        <v>10991</v>
      </c>
      <c r="I19" s="100">
        <f>I20+I21+I22+I23</f>
        <v>10723.24863</v>
      </c>
      <c r="J19" s="99">
        <f t="shared" si="0"/>
        <v>97.56390346647257</v>
      </c>
    </row>
    <row r="20" spans="1:10" s="12" customFormat="1" ht="15.75">
      <c r="A20" s="20" t="s">
        <v>191</v>
      </c>
      <c r="B20" s="21" t="s">
        <v>59</v>
      </c>
      <c r="C20" s="22" t="s">
        <v>8</v>
      </c>
      <c r="D20" s="22" t="s">
        <v>12</v>
      </c>
      <c r="E20" s="22" t="s">
        <v>190</v>
      </c>
      <c r="F20" s="22" t="s">
        <v>83</v>
      </c>
      <c r="G20" s="15"/>
      <c r="H20" s="100">
        <v>8474</v>
      </c>
      <c r="I20" s="100">
        <v>8213.78773</v>
      </c>
      <c r="J20" s="99">
        <f t="shared" si="0"/>
        <v>96.92928640547557</v>
      </c>
    </row>
    <row r="21" spans="1:10" s="12" customFormat="1" ht="31.5" hidden="1">
      <c r="A21" s="20" t="s">
        <v>138</v>
      </c>
      <c r="B21" s="21" t="s">
        <v>59</v>
      </c>
      <c r="C21" s="22" t="s">
        <v>8</v>
      </c>
      <c r="D21" s="22" t="s">
        <v>12</v>
      </c>
      <c r="E21" s="22" t="s">
        <v>190</v>
      </c>
      <c r="F21" s="22" t="s">
        <v>85</v>
      </c>
      <c r="G21" s="15"/>
      <c r="H21" s="100"/>
      <c r="I21" s="100"/>
      <c r="J21" s="99" t="e">
        <f t="shared" si="0"/>
        <v>#DIV/0!</v>
      </c>
    </row>
    <row r="22" spans="1:10" s="12" customFormat="1" ht="47.25" hidden="1">
      <c r="A22" s="20" t="s">
        <v>128</v>
      </c>
      <c r="B22" s="21" t="s">
        <v>59</v>
      </c>
      <c r="C22" s="22" t="s">
        <v>8</v>
      </c>
      <c r="D22" s="22" t="s">
        <v>12</v>
      </c>
      <c r="E22" s="22" t="s">
        <v>190</v>
      </c>
      <c r="F22" s="22" t="s">
        <v>127</v>
      </c>
      <c r="G22" s="15"/>
      <c r="H22" s="100"/>
      <c r="I22" s="100"/>
      <c r="J22" s="99" t="e">
        <f t="shared" si="0"/>
        <v>#DIV/0!</v>
      </c>
    </row>
    <row r="23" spans="1:10" s="12" customFormat="1" ht="31.5">
      <c r="A23" s="20" t="s">
        <v>192</v>
      </c>
      <c r="B23" s="21" t="s">
        <v>59</v>
      </c>
      <c r="C23" s="22" t="s">
        <v>8</v>
      </c>
      <c r="D23" s="22" t="s">
        <v>12</v>
      </c>
      <c r="E23" s="22" t="s">
        <v>190</v>
      </c>
      <c r="F23" s="22" t="s">
        <v>193</v>
      </c>
      <c r="G23" s="15"/>
      <c r="H23" s="98">
        <v>2517</v>
      </c>
      <c r="I23" s="98">
        <v>2509.4609</v>
      </c>
      <c r="J23" s="99">
        <f t="shared" si="0"/>
        <v>99.70047278506158</v>
      </c>
    </row>
    <row r="24" spans="1:10" s="12" customFormat="1" ht="47.25">
      <c r="A24" s="20" t="s">
        <v>194</v>
      </c>
      <c r="B24" s="21" t="s">
        <v>59</v>
      </c>
      <c r="C24" s="22" t="s">
        <v>8</v>
      </c>
      <c r="D24" s="22" t="s">
        <v>12</v>
      </c>
      <c r="E24" s="22" t="s">
        <v>195</v>
      </c>
      <c r="F24" s="22"/>
      <c r="G24" s="15"/>
      <c r="H24" s="98">
        <f>H27+H30+H25</f>
        <v>1115.8600000000001</v>
      </c>
      <c r="I24" s="98">
        <f>I27+I30+I25</f>
        <v>1068.05406</v>
      </c>
      <c r="J24" s="99">
        <f t="shared" si="0"/>
        <v>95.71577617263813</v>
      </c>
    </row>
    <row r="25" spans="1:10" s="12" customFormat="1" ht="15.75">
      <c r="A25" s="20" t="s">
        <v>137</v>
      </c>
      <c r="B25" s="21" t="s">
        <v>59</v>
      </c>
      <c r="C25" s="22" t="s">
        <v>8</v>
      </c>
      <c r="D25" s="22" t="s">
        <v>12</v>
      </c>
      <c r="E25" s="22" t="s">
        <v>195</v>
      </c>
      <c r="F25" s="22" t="s">
        <v>81</v>
      </c>
      <c r="G25" s="15" t="e">
        <v>#REF!</v>
      </c>
      <c r="H25" s="100">
        <f>H26</f>
        <v>370</v>
      </c>
      <c r="I25" s="100">
        <f>I26</f>
        <v>368.82566</v>
      </c>
      <c r="J25" s="99">
        <f t="shared" si="0"/>
        <v>99.68261081081083</v>
      </c>
    </row>
    <row r="26" spans="1:10" s="12" customFormat="1" ht="31.5">
      <c r="A26" s="20" t="s">
        <v>138</v>
      </c>
      <c r="B26" s="21" t="s">
        <v>59</v>
      </c>
      <c r="C26" s="22" t="s">
        <v>8</v>
      </c>
      <c r="D26" s="22" t="s">
        <v>12</v>
      </c>
      <c r="E26" s="22" t="s">
        <v>195</v>
      </c>
      <c r="F26" s="22" t="s">
        <v>85</v>
      </c>
      <c r="G26" s="15"/>
      <c r="H26" s="100">
        <v>370</v>
      </c>
      <c r="I26" s="100">
        <v>368.82566</v>
      </c>
      <c r="J26" s="99">
        <f t="shared" si="0"/>
        <v>99.68261081081083</v>
      </c>
    </row>
    <row r="27" spans="1:10" ht="31.5">
      <c r="A27" s="20" t="s">
        <v>139</v>
      </c>
      <c r="B27" s="21" t="s">
        <v>59</v>
      </c>
      <c r="C27" s="22" t="s">
        <v>8</v>
      </c>
      <c r="D27" s="22" t="s">
        <v>12</v>
      </c>
      <c r="E27" s="22" t="s">
        <v>195</v>
      </c>
      <c r="F27" s="22" t="s">
        <v>87</v>
      </c>
      <c r="G27" s="15"/>
      <c r="H27" s="100">
        <f>H28+H29</f>
        <v>742.36</v>
      </c>
      <c r="I27" s="100">
        <f>I28+I29</f>
        <v>697.2393999999999</v>
      </c>
      <c r="J27" s="99">
        <f t="shared" si="0"/>
        <v>93.92200549598576</v>
      </c>
    </row>
    <row r="28" spans="1:10" ht="31.5">
      <c r="A28" s="20" t="s">
        <v>92</v>
      </c>
      <c r="B28" s="21" t="s">
        <v>59</v>
      </c>
      <c r="C28" s="22" t="s">
        <v>8</v>
      </c>
      <c r="D28" s="22" t="s">
        <v>12</v>
      </c>
      <c r="E28" s="22" t="s">
        <v>195</v>
      </c>
      <c r="F28" s="22" t="s">
        <v>89</v>
      </c>
      <c r="G28" s="15"/>
      <c r="H28" s="100">
        <v>346</v>
      </c>
      <c r="I28" s="100">
        <v>315.31753</v>
      </c>
      <c r="J28" s="99">
        <f t="shared" si="0"/>
        <v>91.13223410404623</v>
      </c>
    </row>
    <row r="29" spans="1:10" ht="15.75">
      <c r="A29" s="20" t="s">
        <v>140</v>
      </c>
      <c r="B29" s="21" t="s">
        <v>59</v>
      </c>
      <c r="C29" s="22" t="s">
        <v>8</v>
      </c>
      <c r="D29" s="22" t="s">
        <v>12</v>
      </c>
      <c r="E29" s="22" t="s">
        <v>195</v>
      </c>
      <c r="F29" s="22" t="s">
        <v>90</v>
      </c>
      <c r="G29" s="15"/>
      <c r="H29" s="100">
        <v>396.36</v>
      </c>
      <c r="I29" s="100">
        <v>381.92187</v>
      </c>
      <c r="J29" s="99">
        <f t="shared" si="0"/>
        <v>96.35731910384499</v>
      </c>
    </row>
    <row r="30" spans="1:10" s="12" customFormat="1" ht="15.75">
      <c r="A30" s="20" t="s">
        <v>93</v>
      </c>
      <c r="B30" s="21" t="s">
        <v>59</v>
      </c>
      <c r="C30" s="22" t="s">
        <v>8</v>
      </c>
      <c r="D30" s="22" t="s">
        <v>12</v>
      </c>
      <c r="E30" s="22" t="s">
        <v>195</v>
      </c>
      <c r="F30" s="22" t="s">
        <v>94</v>
      </c>
      <c r="G30" s="15"/>
      <c r="H30" s="100">
        <f>H31+H32</f>
        <v>3.5</v>
      </c>
      <c r="I30" s="100">
        <f>I31+I32</f>
        <v>1.9889999999999999</v>
      </c>
      <c r="J30" s="99">
        <f t="shared" si="0"/>
        <v>56.82857142857143</v>
      </c>
    </row>
    <row r="31" spans="1:10" s="12" customFormat="1" ht="15.75">
      <c r="A31" s="20" t="s">
        <v>97</v>
      </c>
      <c r="B31" s="21" t="s">
        <v>59</v>
      </c>
      <c r="C31" s="22" t="s">
        <v>8</v>
      </c>
      <c r="D31" s="22" t="s">
        <v>12</v>
      </c>
      <c r="E31" s="22" t="s">
        <v>195</v>
      </c>
      <c r="F31" s="22" t="s">
        <v>95</v>
      </c>
      <c r="G31" s="15"/>
      <c r="H31" s="100">
        <v>0.5</v>
      </c>
      <c r="I31" s="100">
        <v>0.196</v>
      </c>
      <c r="J31" s="99">
        <f t="shared" si="0"/>
        <v>39.2</v>
      </c>
    </row>
    <row r="32" spans="1:10" s="12" customFormat="1" ht="15.75">
      <c r="A32" s="20" t="s">
        <v>196</v>
      </c>
      <c r="B32" s="21" t="s">
        <v>59</v>
      </c>
      <c r="C32" s="22" t="s">
        <v>8</v>
      </c>
      <c r="D32" s="22" t="s">
        <v>12</v>
      </c>
      <c r="E32" s="22" t="s">
        <v>195</v>
      </c>
      <c r="F32" s="22" t="s">
        <v>96</v>
      </c>
      <c r="G32" s="15"/>
      <c r="H32" s="100">
        <v>3</v>
      </c>
      <c r="I32" s="100">
        <v>1.793</v>
      </c>
      <c r="J32" s="99">
        <f t="shared" si="0"/>
        <v>59.766666666666666</v>
      </c>
    </row>
    <row r="33" spans="1:10" s="12" customFormat="1" ht="47.25">
      <c r="A33" s="20" t="s">
        <v>197</v>
      </c>
      <c r="B33" s="21" t="s">
        <v>59</v>
      </c>
      <c r="C33" s="22" t="s">
        <v>8</v>
      </c>
      <c r="D33" s="22" t="s">
        <v>12</v>
      </c>
      <c r="E33" s="22" t="s">
        <v>198</v>
      </c>
      <c r="F33" s="22"/>
      <c r="G33" s="15"/>
      <c r="H33" s="98">
        <f>H34</f>
        <v>26.14</v>
      </c>
      <c r="I33" s="98">
        <f>I34</f>
        <v>26.14</v>
      </c>
      <c r="J33" s="99">
        <f t="shared" si="0"/>
        <v>100</v>
      </c>
    </row>
    <row r="34" spans="1:10" s="12" customFormat="1" ht="15.75">
      <c r="A34" s="20" t="s">
        <v>140</v>
      </c>
      <c r="B34" s="21" t="s">
        <v>59</v>
      </c>
      <c r="C34" s="22" t="s">
        <v>8</v>
      </c>
      <c r="D34" s="22" t="s">
        <v>12</v>
      </c>
      <c r="E34" s="22" t="s">
        <v>198</v>
      </c>
      <c r="F34" s="22" t="s">
        <v>90</v>
      </c>
      <c r="G34" s="15"/>
      <c r="H34" s="98">
        <v>26.14</v>
      </c>
      <c r="I34" s="98">
        <v>26.14</v>
      </c>
      <c r="J34" s="99">
        <f t="shared" si="0"/>
        <v>100</v>
      </c>
    </row>
    <row r="35" spans="1:10" s="12" customFormat="1" ht="15.75">
      <c r="A35" s="20" t="s">
        <v>17</v>
      </c>
      <c r="B35" s="21" t="s">
        <v>59</v>
      </c>
      <c r="C35" s="22" t="s">
        <v>8</v>
      </c>
      <c r="D35" s="22" t="s">
        <v>70</v>
      </c>
      <c r="E35" s="22"/>
      <c r="F35" s="22"/>
      <c r="G35" s="15"/>
      <c r="H35" s="98">
        <f>H36</f>
        <v>60</v>
      </c>
      <c r="I35" s="98">
        <f>I36</f>
        <v>30</v>
      </c>
      <c r="J35" s="99">
        <f t="shared" si="0"/>
        <v>50</v>
      </c>
    </row>
    <row r="36" spans="1:10" ht="47.25">
      <c r="A36" s="20" t="s">
        <v>183</v>
      </c>
      <c r="B36" s="21" t="s">
        <v>59</v>
      </c>
      <c r="C36" s="22" t="s">
        <v>8</v>
      </c>
      <c r="D36" s="22" t="s">
        <v>70</v>
      </c>
      <c r="E36" s="21" t="s">
        <v>184</v>
      </c>
      <c r="F36" s="22"/>
      <c r="G36" s="15"/>
      <c r="H36" s="100">
        <f aca="true" t="shared" si="2" ref="H36:I39">H37</f>
        <v>60</v>
      </c>
      <c r="I36" s="100">
        <f t="shared" si="2"/>
        <v>30</v>
      </c>
      <c r="J36" s="99">
        <f t="shared" si="0"/>
        <v>50</v>
      </c>
    </row>
    <row r="37" spans="1:10" ht="31.5">
      <c r="A37" s="20" t="s">
        <v>199</v>
      </c>
      <c r="B37" s="21" t="s">
        <v>59</v>
      </c>
      <c r="C37" s="22" t="s">
        <v>8</v>
      </c>
      <c r="D37" s="22" t="s">
        <v>70</v>
      </c>
      <c r="E37" s="21" t="s">
        <v>200</v>
      </c>
      <c r="F37" s="22"/>
      <c r="G37" s="15"/>
      <c r="H37" s="100">
        <f t="shared" si="2"/>
        <v>60</v>
      </c>
      <c r="I37" s="100">
        <f t="shared" si="2"/>
        <v>30</v>
      </c>
      <c r="J37" s="99">
        <f t="shared" si="0"/>
        <v>50</v>
      </c>
    </row>
    <row r="38" spans="1:10" ht="31.5">
      <c r="A38" s="20" t="s">
        <v>201</v>
      </c>
      <c r="B38" s="21" t="s">
        <v>59</v>
      </c>
      <c r="C38" s="22" t="s">
        <v>8</v>
      </c>
      <c r="D38" s="22" t="s">
        <v>70</v>
      </c>
      <c r="E38" s="21" t="s">
        <v>202</v>
      </c>
      <c r="F38" s="22"/>
      <c r="G38" s="15"/>
      <c r="H38" s="100">
        <f t="shared" si="2"/>
        <v>60</v>
      </c>
      <c r="I38" s="100">
        <f t="shared" si="2"/>
        <v>30</v>
      </c>
      <c r="J38" s="99">
        <f t="shared" si="0"/>
        <v>50</v>
      </c>
    </row>
    <row r="39" spans="1:10" ht="31.5">
      <c r="A39" s="20" t="s">
        <v>203</v>
      </c>
      <c r="B39" s="21" t="s">
        <v>59</v>
      </c>
      <c r="C39" s="22" t="s">
        <v>8</v>
      </c>
      <c r="D39" s="22" t="s">
        <v>70</v>
      </c>
      <c r="E39" s="21" t="s">
        <v>204</v>
      </c>
      <c r="F39" s="22"/>
      <c r="G39" s="15"/>
      <c r="H39" s="100">
        <f>H40</f>
        <v>60</v>
      </c>
      <c r="I39" s="100">
        <f t="shared" si="2"/>
        <v>30</v>
      </c>
      <c r="J39" s="99">
        <f t="shared" si="0"/>
        <v>50</v>
      </c>
    </row>
    <row r="40" spans="1:10" ht="15.75">
      <c r="A40" s="20" t="s">
        <v>140</v>
      </c>
      <c r="B40" s="21" t="s">
        <v>59</v>
      </c>
      <c r="C40" s="22" t="s">
        <v>8</v>
      </c>
      <c r="D40" s="22" t="s">
        <v>70</v>
      </c>
      <c r="E40" s="21" t="s">
        <v>204</v>
      </c>
      <c r="F40" s="22" t="s">
        <v>158</v>
      </c>
      <c r="G40" s="15"/>
      <c r="H40" s="100">
        <v>60</v>
      </c>
      <c r="I40" s="100">
        <v>30</v>
      </c>
      <c r="J40" s="99">
        <f t="shared" si="0"/>
        <v>50</v>
      </c>
    </row>
    <row r="41" spans="1:10" ht="15.75">
      <c r="A41" s="20" t="s">
        <v>43</v>
      </c>
      <c r="B41" s="21" t="s">
        <v>59</v>
      </c>
      <c r="C41" s="21" t="s">
        <v>12</v>
      </c>
      <c r="D41" s="21" t="s">
        <v>9</v>
      </c>
      <c r="E41" s="21"/>
      <c r="F41" s="21"/>
      <c r="G41" s="15" t="e">
        <f>#REF!+#REF!+#REF!</f>
        <v>#REF!</v>
      </c>
      <c r="H41" s="98">
        <f>H42</f>
        <v>1430</v>
      </c>
      <c r="I41" s="98">
        <f>I42</f>
        <v>1392.2</v>
      </c>
      <c r="J41" s="99">
        <f t="shared" si="0"/>
        <v>97.35664335664336</v>
      </c>
    </row>
    <row r="42" spans="1:10" ht="15.75">
      <c r="A42" s="20" t="s">
        <v>49</v>
      </c>
      <c r="B42" s="21" t="s">
        <v>59</v>
      </c>
      <c r="C42" s="21" t="s">
        <v>12</v>
      </c>
      <c r="D42" s="21" t="s">
        <v>15</v>
      </c>
      <c r="E42" s="21"/>
      <c r="F42" s="21"/>
      <c r="G42" s="15" t="e">
        <f>#REF!+#REF!+#REF!</f>
        <v>#REF!</v>
      </c>
      <c r="H42" s="98">
        <f>H43</f>
        <v>1430</v>
      </c>
      <c r="I42" s="98">
        <f>I43</f>
        <v>1392.2</v>
      </c>
      <c r="J42" s="99">
        <f t="shared" si="0"/>
        <v>97.35664335664336</v>
      </c>
    </row>
    <row r="43" spans="1:10" ht="47.25">
      <c r="A43" s="20" t="s">
        <v>183</v>
      </c>
      <c r="B43" s="21" t="s">
        <v>59</v>
      </c>
      <c r="C43" s="21" t="s">
        <v>12</v>
      </c>
      <c r="D43" s="21" t="s">
        <v>15</v>
      </c>
      <c r="E43" s="21" t="s">
        <v>184</v>
      </c>
      <c r="F43" s="21"/>
      <c r="G43" s="15"/>
      <c r="H43" s="98">
        <f aca="true" t="shared" si="3" ref="H43:I46">H44</f>
        <v>1430</v>
      </c>
      <c r="I43" s="98">
        <f t="shared" si="3"/>
        <v>1392.2</v>
      </c>
      <c r="J43" s="99">
        <f t="shared" si="0"/>
        <v>97.35664335664336</v>
      </c>
    </row>
    <row r="44" spans="1:10" ht="31.5">
      <c r="A44" s="20" t="s">
        <v>199</v>
      </c>
      <c r="B44" s="21" t="s">
        <v>59</v>
      </c>
      <c r="C44" s="21" t="s">
        <v>12</v>
      </c>
      <c r="D44" s="21" t="s">
        <v>15</v>
      </c>
      <c r="E44" s="21" t="s">
        <v>200</v>
      </c>
      <c r="F44" s="21"/>
      <c r="G44" s="15"/>
      <c r="H44" s="98">
        <f t="shared" si="3"/>
        <v>1430</v>
      </c>
      <c r="I44" s="98">
        <f t="shared" si="3"/>
        <v>1392.2</v>
      </c>
      <c r="J44" s="99">
        <f t="shared" si="0"/>
        <v>97.35664335664336</v>
      </c>
    </row>
    <row r="45" spans="1:10" ht="31.5">
      <c r="A45" s="20" t="s">
        <v>201</v>
      </c>
      <c r="B45" s="21" t="s">
        <v>59</v>
      </c>
      <c r="C45" s="21" t="s">
        <v>12</v>
      </c>
      <c r="D45" s="21" t="s">
        <v>15</v>
      </c>
      <c r="E45" s="21" t="s">
        <v>202</v>
      </c>
      <c r="F45" s="21"/>
      <c r="G45" s="15"/>
      <c r="H45" s="98">
        <f t="shared" si="3"/>
        <v>1430</v>
      </c>
      <c r="I45" s="98">
        <f t="shared" si="3"/>
        <v>1392.2</v>
      </c>
      <c r="J45" s="99">
        <f t="shared" si="0"/>
        <v>97.35664335664336</v>
      </c>
    </row>
    <row r="46" spans="1:10" ht="31.5">
      <c r="A46" s="20" t="s">
        <v>205</v>
      </c>
      <c r="B46" s="21" t="s">
        <v>59</v>
      </c>
      <c r="C46" s="21" t="s">
        <v>12</v>
      </c>
      <c r="D46" s="21" t="s">
        <v>15</v>
      </c>
      <c r="E46" s="21" t="s">
        <v>206</v>
      </c>
      <c r="F46" s="21"/>
      <c r="G46" s="15"/>
      <c r="H46" s="98">
        <f t="shared" si="3"/>
        <v>1430</v>
      </c>
      <c r="I46" s="98">
        <f t="shared" si="3"/>
        <v>1392.2</v>
      </c>
      <c r="J46" s="99">
        <f t="shared" si="0"/>
        <v>97.35664335664336</v>
      </c>
    </row>
    <row r="47" spans="1:10" ht="31.5">
      <c r="A47" s="20" t="s">
        <v>139</v>
      </c>
      <c r="B47" s="21" t="s">
        <v>59</v>
      </c>
      <c r="C47" s="21" t="s">
        <v>12</v>
      </c>
      <c r="D47" s="21" t="s">
        <v>15</v>
      </c>
      <c r="E47" s="21" t="s">
        <v>206</v>
      </c>
      <c r="F47" s="21" t="s">
        <v>87</v>
      </c>
      <c r="G47" s="15"/>
      <c r="H47" s="98">
        <f>H48</f>
        <v>1430</v>
      </c>
      <c r="I47" s="98">
        <f>I48</f>
        <v>1392.2</v>
      </c>
      <c r="J47" s="99">
        <f t="shared" si="0"/>
        <v>97.35664335664336</v>
      </c>
    </row>
    <row r="48" spans="1:10" ht="15.75">
      <c r="A48" s="20" t="s">
        <v>140</v>
      </c>
      <c r="B48" s="21" t="s">
        <v>59</v>
      </c>
      <c r="C48" s="21" t="s">
        <v>12</v>
      </c>
      <c r="D48" s="21" t="s">
        <v>15</v>
      </c>
      <c r="E48" s="21" t="s">
        <v>206</v>
      </c>
      <c r="F48" s="21" t="s">
        <v>90</v>
      </c>
      <c r="G48" s="15"/>
      <c r="H48" s="98">
        <v>1430</v>
      </c>
      <c r="I48" s="98">
        <v>1392.2</v>
      </c>
      <c r="J48" s="99">
        <f t="shared" si="0"/>
        <v>97.35664335664336</v>
      </c>
    </row>
    <row r="49" spans="1:10" ht="15.75">
      <c r="A49" s="20" t="s">
        <v>36</v>
      </c>
      <c r="B49" s="21" t="s">
        <v>59</v>
      </c>
      <c r="C49" s="21" t="s">
        <v>20</v>
      </c>
      <c r="D49" s="21" t="s">
        <v>10</v>
      </c>
      <c r="E49" s="21"/>
      <c r="F49" s="21"/>
      <c r="G49" s="15" t="e">
        <f>#REF!+#REF!+#REF!</f>
        <v>#REF!</v>
      </c>
      <c r="H49" s="98">
        <f>H50</f>
        <v>10</v>
      </c>
      <c r="I49" s="98">
        <f>I50</f>
        <v>10</v>
      </c>
      <c r="J49" s="99">
        <f t="shared" si="0"/>
        <v>100</v>
      </c>
    </row>
    <row r="50" spans="1:10" ht="47.25">
      <c r="A50" s="20" t="s">
        <v>183</v>
      </c>
      <c r="B50" s="21" t="s">
        <v>59</v>
      </c>
      <c r="C50" s="21" t="s">
        <v>20</v>
      </c>
      <c r="D50" s="21" t="s">
        <v>10</v>
      </c>
      <c r="E50" s="21" t="s">
        <v>184</v>
      </c>
      <c r="F50" s="21"/>
      <c r="G50" s="15"/>
      <c r="H50" s="98">
        <f aca="true" t="shared" si="4" ref="H50:I52">H51</f>
        <v>10</v>
      </c>
      <c r="I50" s="98">
        <f t="shared" si="4"/>
        <v>10</v>
      </c>
      <c r="J50" s="99">
        <f t="shared" si="0"/>
        <v>100</v>
      </c>
    </row>
    <row r="51" spans="1:10" ht="47.25">
      <c r="A51" s="20" t="s">
        <v>185</v>
      </c>
      <c r="B51" s="21" t="s">
        <v>59</v>
      </c>
      <c r="C51" s="21" t="s">
        <v>20</v>
      </c>
      <c r="D51" s="21" t="s">
        <v>10</v>
      </c>
      <c r="E51" s="21" t="s">
        <v>186</v>
      </c>
      <c r="F51" s="21"/>
      <c r="G51" s="15"/>
      <c r="H51" s="98">
        <f t="shared" si="4"/>
        <v>10</v>
      </c>
      <c r="I51" s="98">
        <f t="shared" si="4"/>
        <v>10</v>
      </c>
      <c r="J51" s="99">
        <f t="shared" si="0"/>
        <v>100</v>
      </c>
    </row>
    <row r="52" spans="1:10" ht="47.25">
      <c r="A52" s="20" t="s">
        <v>207</v>
      </c>
      <c r="B52" s="21" t="s">
        <v>59</v>
      </c>
      <c r="C52" s="21" t="s">
        <v>20</v>
      </c>
      <c r="D52" s="21" t="s">
        <v>10</v>
      </c>
      <c r="E52" s="21" t="s">
        <v>208</v>
      </c>
      <c r="F52" s="21"/>
      <c r="G52" s="15"/>
      <c r="H52" s="98">
        <f t="shared" si="4"/>
        <v>10</v>
      </c>
      <c r="I52" s="98">
        <f t="shared" si="4"/>
        <v>10</v>
      </c>
      <c r="J52" s="99">
        <f t="shared" si="0"/>
        <v>100</v>
      </c>
    </row>
    <row r="53" spans="1:10" ht="31.5">
      <c r="A53" s="20" t="s">
        <v>141</v>
      </c>
      <c r="B53" s="21" t="s">
        <v>59</v>
      </c>
      <c r="C53" s="21" t="s">
        <v>20</v>
      </c>
      <c r="D53" s="21" t="s">
        <v>10</v>
      </c>
      <c r="E53" s="21" t="s">
        <v>208</v>
      </c>
      <c r="F53" s="21" t="s">
        <v>104</v>
      </c>
      <c r="G53" s="15"/>
      <c r="H53" s="98">
        <v>10</v>
      </c>
      <c r="I53" s="98">
        <v>10</v>
      </c>
      <c r="J53" s="99">
        <f t="shared" si="0"/>
        <v>100</v>
      </c>
    </row>
    <row r="54" spans="1:10" ht="15.75">
      <c r="A54" s="24"/>
      <c r="B54" s="25"/>
      <c r="C54" s="25"/>
      <c r="D54" s="25"/>
      <c r="E54" s="25"/>
      <c r="F54" s="25"/>
      <c r="G54" s="26"/>
      <c r="H54" s="102"/>
      <c r="I54" s="102"/>
      <c r="J54" s="26"/>
    </row>
    <row r="55" spans="1:10" ht="15.75">
      <c r="A55" s="27"/>
      <c r="B55" s="28"/>
      <c r="C55" s="28"/>
      <c r="D55" s="28"/>
      <c r="E55" s="28"/>
      <c r="F55" s="28"/>
      <c r="G55" s="29"/>
      <c r="H55" s="103"/>
      <c r="I55" s="103"/>
      <c r="J55" s="29"/>
    </row>
    <row r="56" spans="1:10" ht="31.5">
      <c r="A56" s="13" t="s">
        <v>60</v>
      </c>
      <c r="B56" s="14" t="s">
        <v>57</v>
      </c>
      <c r="C56" s="14"/>
      <c r="D56" s="14"/>
      <c r="E56" s="14"/>
      <c r="F56" s="14"/>
      <c r="G56" s="15" t="e">
        <f>#REF!+#REF!+#REF!</f>
        <v>#REF!</v>
      </c>
      <c r="H56" s="104">
        <f>H57+H171+H226+H293+H154+H354+H386+H397</f>
        <v>545677.20845</v>
      </c>
      <c r="I56" s="104">
        <f>I57+I171+I226+I293+I154+I354+I386+I397</f>
        <v>479037.54961</v>
      </c>
      <c r="J56" s="99">
        <f aca="true" t="shared" si="5" ref="J56:J119">I56/H56*100</f>
        <v>87.78771445681404</v>
      </c>
    </row>
    <row r="57" spans="1:10" ht="15.75">
      <c r="A57" s="20" t="s">
        <v>7</v>
      </c>
      <c r="B57" s="21" t="s">
        <v>57</v>
      </c>
      <c r="C57" s="21" t="s">
        <v>8</v>
      </c>
      <c r="D57" s="21" t="s">
        <v>9</v>
      </c>
      <c r="E57" s="21"/>
      <c r="F57" s="21"/>
      <c r="G57" s="15" t="e">
        <f>#REF!+#REF!+#REF!</f>
        <v>#REF!</v>
      </c>
      <c r="H57" s="98">
        <f>H58+H64+H112+H116+H108</f>
        <v>85908.07502</v>
      </c>
      <c r="I57" s="98">
        <f>I58+I64+I112+I116+I108</f>
        <v>80482.62088999999</v>
      </c>
      <c r="J57" s="99">
        <f t="shared" si="5"/>
        <v>93.6845818873989</v>
      </c>
    </row>
    <row r="58" spans="1:10" ht="31.5">
      <c r="A58" s="20" t="s">
        <v>55</v>
      </c>
      <c r="B58" s="21" t="s">
        <v>57</v>
      </c>
      <c r="C58" s="21" t="s">
        <v>8</v>
      </c>
      <c r="D58" s="21" t="s">
        <v>18</v>
      </c>
      <c r="E58" s="21"/>
      <c r="F58" s="21"/>
      <c r="G58" s="15" t="e">
        <f>#REF!+#REF!+#REF!</f>
        <v>#REF!</v>
      </c>
      <c r="H58" s="98">
        <f>H59</f>
        <v>1393.57893</v>
      </c>
      <c r="I58" s="98">
        <f>I59</f>
        <v>1393.57893</v>
      </c>
      <c r="J58" s="99">
        <f t="shared" si="5"/>
        <v>100</v>
      </c>
    </row>
    <row r="59" spans="1:10" ht="47.25">
      <c r="A59" s="20" t="s">
        <v>142</v>
      </c>
      <c r="B59" s="21" t="s">
        <v>57</v>
      </c>
      <c r="C59" s="21" t="s">
        <v>8</v>
      </c>
      <c r="D59" s="21" t="s">
        <v>18</v>
      </c>
      <c r="E59" s="21" t="s">
        <v>209</v>
      </c>
      <c r="F59" s="21"/>
      <c r="G59" s="15" t="e">
        <f>#REF!+#REF!+#REF!</f>
        <v>#REF!</v>
      </c>
      <c r="H59" s="98">
        <f>H60</f>
        <v>1393.57893</v>
      </c>
      <c r="I59" s="98">
        <f>I60</f>
        <v>1393.57893</v>
      </c>
      <c r="J59" s="99">
        <f t="shared" si="5"/>
        <v>100</v>
      </c>
    </row>
    <row r="60" spans="1:10" ht="15.75">
      <c r="A60" s="20" t="s">
        <v>44</v>
      </c>
      <c r="B60" s="21" t="s">
        <v>57</v>
      </c>
      <c r="C60" s="21" t="s">
        <v>8</v>
      </c>
      <c r="D60" s="21" t="s">
        <v>18</v>
      </c>
      <c r="E60" s="21" t="s">
        <v>210</v>
      </c>
      <c r="F60" s="21"/>
      <c r="G60" s="15" t="e">
        <f>#REF!+#REF!+#REF!</f>
        <v>#REF!</v>
      </c>
      <c r="H60" s="98">
        <f>H61+H62+H63</f>
        <v>1393.57893</v>
      </c>
      <c r="I60" s="98">
        <f>I61+I62+I63</f>
        <v>1393.57893</v>
      </c>
      <c r="J60" s="99">
        <f t="shared" si="5"/>
        <v>100</v>
      </c>
    </row>
    <row r="61" spans="1:10" ht="15.75">
      <c r="A61" s="20" t="s">
        <v>191</v>
      </c>
      <c r="B61" s="21" t="s">
        <v>57</v>
      </c>
      <c r="C61" s="21" t="s">
        <v>8</v>
      </c>
      <c r="D61" s="21" t="s">
        <v>18</v>
      </c>
      <c r="E61" s="21" t="s">
        <v>210</v>
      </c>
      <c r="F61" s="21" t="s">
        <v>83</v>
      </c>
      <c r="G61" s="15"/>
      <c r="H61" s="98">
        <v>1125.81</v>
      </c>
      <c r="I61" s="98">
        <v>1125.81</v>
      </c>
      <c r="J61" s="99">
        <f t="shared" si="5"/>
        <v>100</v>
      </c>
    </row>
    <row r="62" spans="1:10" ht="15.75" hidden="1">
      <c r="A62" s="20" t="s">
        <v>86</v>
      </c>
      <c r="B62" s="21" t="s">
        <v>57</v>
      </c>
      <c r="C62" s="21" t="s">
        <v>8</v>
      </c>
      <c r="D62" s="21" t="s">
        <v>18</v>
      </c>
      <c r="E62" s="21" t="s">
        <v>210</v>
      </c>
      <c r="F62" s="21" t="s">
        <v>85</v>
      </c>
      <c r="G62" s="15"/>
      <c r="H62" s="98"/>
      <c r="I62" s="98"/>
      <c r="J62" s="99" t="e">
        <f t="shared" si="5"/>
        <v>#DIV/0!</v>
      </c>
    </row>
    <row r="63" spans="1:10" ht="31.5">
      <c r="A63" s="20" t="s">
        <v>192</v>
      </c>
      <c r="B63" s="21" t="s">
        <v>57</v>
      </c>
      <c r="C63" s="21" t="s">
        <v>8</v>
      </c>
      <c r="D63" s="21" t="s">
        <v>18</v>
      </c>
      <c r="E63" s="21" t="s">
        <v>210</v>
      </c>
      <c r="F63" s="21" t="s">
        <v>193</v>
      </c>
      <c r="G63" s="15"/>
      <c r="H63" s="98">
        <v>267.76893</v>
      </c>
      <c r="I63" s="98">
        <v>267.76893</v>
      </c>
      <c r="J63" s="99">
        <f t="shared" si="5"/>
        <v>100</v>
      </c>
    </row>
    <row r="64" spans="1:10" ht="47.25">
      <c r="A64" s="20" t="s">
        <v>52</v>
      </c>
      <c r="B64" s="21" t="s">
        <v>57</v>
      </c>
      <c r="C64" s="21" t="s">
        <v>8</v>
      </c>
      <c r="D64" s="21" t="s">
        <v>12</v>
      </c>
      <c r="E64" s="21"/>
      <c r="F64" s="21"/>
      <c r="G64" s="15" t="e">
        <f>#REF!+#REF!+#REF!</f>
        <v>#REF!</v>
      </c>
      <c r="H64" s="98">
        <f>H65+H68+H73+H78+H86</f>
        <v>73538.31732</v>
      </c>
      <c r="I64" s="98">
        <f>I65+I68+I73+I78+I86</f>
        <v>70512.01726</v>
      </c>
      <c r="J64" s="99">
        <f t="shared" si="5"/>
        <v>95.8847303415563</v>
      </c>
    </row>
    <row r="65" spans="1:10" ht="47.25">
      <c r="A65" s="78" t="s">
        <v>211</v>
      </c>
      <c r="B65" s="21" t="s">
        <v>57</v>
      </c>
      <c r="C65" s="21" t="s">
        <v>8</v>
      </c>
      <c r="D65" s="21" t="s">
        <v>12</v>
      </c>
      <c r="E65" s="21" t="s">
        <v>212</v>
      </c>
      <c r="F65" s="21"/>
      <c r="G65" s="15"/>
      <c r="H65" s="98">
        <f>H66</f>
        <v>1.2</v>
      </c>
      <c r="I65" s="98">
        <f>I66</f>
        <v>1.2</v>
      </c>
      <c r="J65" s="99">
        <f t="shared" si="5"/>
        <v>100</v>
      </c>
    </row>
    <row r="66" spans="1:10" ht="47.25">
      <c r="A66" s="78" t="s">
        <v>213</v>
      </c>
      <c r="B66" s="21" t="s">
        <v>57</v>
      </c>
      <c r="C66" s="21" t="s">
        <v>8</v>
      </c>
      <c r="D66" s="21" t="s">
        <v>12</v>
      </c>
      <c r="E66" s="21" t="s">
        <v>214</v>
      </c>
      <c r="F66" s="21"/>
      <c r="G66" s="15"/>
      <c r="H66" s="98">
        <f>H67</f>
        <v>1.2</v>
      </c>
      <c r="I66" s="98">
        <f>I67</f>
        <v>1.2</v>
      </c>
      <c r="J66" s="99">
        <f t="shared" si="5"/>
        <v>100</v>
      </c>
    </row>
    <row r="67" spans="1:10" ht="15.75">
      <c r="A67" s="20" t="s">
        <v>215</v>
      </c>
      <c r="B67" s="21" t="s">
        <v>57</v>
      </c>
      <c r="C67" s="21" t="s">
        <v>8</v>
      </c>
      <c r="D67" s="21" t="s">
        <v>12</v>
      </c>
      <c r="E67" s="21" t="s">
        <v>214</v>
      </c>
      <c r="F67" s="21" t="s">
        <v>90</v>
      </c>
      <c r="G67" s="15"/>
      <c r="H67" s="98">
        <v>1.2</v>
      </c>
      <c r="I67" s="98">
        <v>1.2</v>
      </c>
      <c r="J67" s="99">
        <f t="shared" si="5"/>
        <v>100</v>
      </c>
    </row>
    <row r="68" spans="1:10" ht="47.25">
      <c r="A68" s="54" t="s">
        <v>216</v>
      </c>
      <c r="B68" s="21" t="s">
        <v>57</v>
      </c>
      <c r="C68" s="21" t="s">
        <v>8</v>
      </c>
      <c r="D68" s="21" t="s">
        <v>12</v>
      </c>
      <c r="E68" s="21" t="s">
        <v>217</v>
      </c>
      <c r="F68" s="21"/>
      <c r="G68" s="15"/>
      <c r="H68" s="98">
        <f>H69</f>
        <v>239.7</v>
      </c>
      <c r="I68" s="98">
        <f>I69</f>
        <v>239.7</v>
      </c>
      <c r="J68" s="99">
        <f t="shared" si="5"/>
        <v>100</v>
      </c>
    </row>
    <row r="69" spans="1:10" ht="47.25">
      <c r="A69" s="54" t="s">
        <v>218</v>
      </c>
      <c r="B69" s="21" t="s">
        <v>57</v>
      </c>
      <c r="C69" s="21" t="s">
        <v>8</v>
      </c>
      <c r="D69" s="21" t="s">
        <v>12</v>
      </c>
      <c r="E69" s="21" t="s">
        <v>219</v>
      </c>
      <c r="F69" s="21"/>
      <c r="G69" s="15"/>
      <c r="H69" s="98">
        <f>H70</f>
        <v>239.7</v>
      </c>
      <c r="I69" s="98">
        <f>I70</f>
        <v>239.7</v>
      </c>
      <c r="J69" s="99">
        <f t="shared" si="5"/>
        <v>100</v>
      </c>
    </row>
    <row r="70" spans="1:10" ht="15.75">
      <c r="A70" s="20" t="s">
        <v>82</v>
      </c>
      <c r="B70" s="21" t="s">
        <v>57</v>
      </c>
      <c r="C70" s="21" t="s">
        <v>8</v>
      </c>
      <c r="D70" s="21" t="s">
        <v>12</v>
      </c>
      <c r="E70" s="21" t="s">
        <v>219</v>
      </c>
      <c r="F70" s="21" t="s">
        <v>81</v>
      </c>
      <c r="G70" s="15"/>
      <c r="H70" s="98">
        <f>H71+H72</f>
        <v>239.7</v>
      </c>
      <c r="I70" s="98">
        <f>I71+I72</f>
        <v>239.7</v>
      </c>
      <c r="J70" s="99">
        <f t="shared" si="5"/>
        <v>100</v>
      </c>
    </row>
    <row r="71" spans="1:10" ht="15.75">
      <c r="A71" s="20" t="s">
        <v>191</v>
      </c>
      <c r="B71" s="21" t="s">
        <v>57</v>
      </c>
      <c r="C71" s="21" t="s">
        <v>8</v>
      </c>
      <c r="D71" s="21" t="s">
        <v>12</v>
      </c>
      <c r="E71" s="21" t="s">
        <v>219</v>
      </c>
      <c r="F71" s="21" t="s">
        <v>83</v>
      </c>
      <c r="G71" s="15"/>
      <c r="H71" s="98">
        <v>184.5</v>
      </c>
      <c r="I71" s="98">
        <v>184.5</v>
      </c>
      <c r="J71" s="99">
        <f t="shared" si="5"/>
        <v>100</v>
      </c>
    </row>
    <row r="72" spans="1:10" ht="31.5">
      <c r="A72" s="20" t="s">
        <v>192</v>
      </c>
      <c r="B72" s="21" t="s">
        <v>57</v>
      </c>
      <c r="C72" s="21" t="s">
        <v>8</v>
      </c>
      <c r="D72" s="21" t="s">
        <v>12</v>
      </c>
      <c r="E72" s="79" t="s">
        <v>219</v>
      </c>
      <c r="F72" s="21" t="s">
        <v>193</v>
      </c>
      <c r="G72" s="15"/>
      <c r="H72" s="98">
        <v>55.2</v>
      </c>
      <c r="I72" s="98">
        <v>55.2</v>
      </c>
      <c r="J72" s="99">
        <f t="shared" si="5"/>
        <v>100</v>
      </c>
    </row>
    <row r="73" spans="1:10" ht="31.5">
      <c r="A73" s="54" t="s">
        <v>220</v>
      </c>
      <c r="B73" s="21" t="s">
        <v>57</v>
      </c>
      <c r="C73" s="21" t="s">
        <v>8</v>
      </c>
      <c r="D73" s="21" t="s">
        <v>12</v>
      </c>
      <c r="E73" s="22" t="s">
        <v>221</v>
      </c>
      <c r="F73" s="21"/>
      <c r="G73" s="15"/>
      <c r="H73" s="98">
        <f>H74</f>
        <v>2313</v>
      </c>
      <c r="I73" s="98">
        <f>I74</f>
        <v>2313</v>
      </c>
      <c r="J73" s="99">
        <f t="shared" si="5"/>
        <v>100</v>
      </c>
    </row>
    <row r="74" spans="1:10" ht="47.25">
      <c r="A74" s="54" t="s">
        <v>222</v>
      </c>
      <c r="B74" s="21" t="s">
        <v>57</v>
      </c>
      <c r="C74" s="21" t="s">
        <v>8</v>
      </c>
      <c r="D74" s="21" t="s">
        <v>12</v>
      </c>
      <c r="E74" s="22" t="s">
        <v>223</v>
      </c>
      <c r="F74" s="21"/>
      <c r="G74" s="15"/>
      <c r="H74" s="98">
        <f>H75</f>
        <v>2313</v>
      </c>
      <c r="I74" s="98">
        <f>I75</f>
        <v>2313</v>
      </c>
      <c r="J74" s="99">
        <f t="shared" si="5"/>
        <v>100</v>
      </c>
    </row>
    <row r="75" spans="1:10" ht="15.75">
      <c r="A75" s="20" t="s">
        <v>82</v>
      </c>
      <c r="B75" s="21" t="s">
        <v>57</v>
      </c>
      <c r="C75" s="21" t="s">
        <v>8</v>
      </c>
      <c r="D75" s="21" t="s">
        <v>12</v>
      </c>
      <c r="E75" s="22" t="s">
        <v>223</v>
      </c>
      <c r="F75" s="21" t="s">
        <v>81</v>
      </c>
      <c r="G75" s="15"/>
      <c r="H75" s="98">
        <f>H76+H77</f>
        <v>2313</v>
      </c>
      <c r="I75" s="98">
        <f>I76+I77</f>
        <v>2313</v>
      </c>
      <c r="J75" s="99">
        <f t="shared" si="5"/>
        <v>100</v>
      </c>
    </row>
    <row r="76" spans="1:10" ht="15.75">
      <c r="A76" s="20" t="s">
        <v>191</v>
      </c>
      <c r="B76" s="21" t="s">
        <v>57</v>
      </c>
      <c r="C76" s="21" t="s">
        <v>8</v>
      </c>
      <c r="D76" s="21" t="s">
        <v>12</v>
      </c>
      <c r="E76" s="22" t="s">
        <v>223</v>
      </c>
      <c r="F76" s="21" t="s">
        <v>83</v>
      </c>
      <c r="G76" s="15"/>
      <c r="H76" s="98">
        <v>1777</v>
      </c>
      <c r="I76" s="98">
        <v>1777</v>
      </c>
      <c r="J76" s="99">
        <f t="shared" si="5"/>
        <v>100</v>
      </c>
    </row>
    <row r="77" spans="1:10" ht="31.5">
      <c r="A77" s="20" t="s">
        <v>192</v>
      </c>
      <c r="B77" s="21" t="s">
        <v>57</v>
      </c>
      <c r="C77" s="21" t="s">
        <v>8</v>
      </c>
      <c r="D77" s="21" t="s">
        <v>12</v>
      </c>
      <c r="E77" s="22" t="s">
        <v>223</v>
      </c>
      <c r="F77" s="21" t="s">
        <v>193</v>
      </c>
      <c r="G77" s="15"/>
      <c r="H77" s="98">
        <v>536</v>
      </c>
      <c r="I77" s="98">
        <v>536</v>
      </c>
      <c r="J77" s="99">
        <f t="shared" si="5"/>
        <v>100</v>
      </c>
    </row>
    <row r="78" spans="1:10" ht="31.5">
      <c r="A78" s="54" t="s">
        <v>224</v>
      </c>
      <c r="B78" s="21" t="s">
        <v>57</v>
      </c>
      <c r="C78" s="21" t="s">
        <v>8</v>
      </c>
      <c r="D78" s="21" t="s">
        <v>12</v>
      </c>
      <c r="E78" s="22" t="s">
        <v>225</v>
      </c>
      <c r="F78" s="21"/>
      <c r="G78" s="15"/>
      <c r="H78" s="98">
        <f>H79</f>
        <v>1290.4</v>
      </c>
      <c r="I78" s="98">
        <f>I79</f>
        <v>1290.4</v>
      </c>
      <c r="J78" s="99">
        <f t="shared" si="5"/>
        <v>100</v>
      </c>
    </row>
    <row r="79" spans="1:10" ht="15.75">
      <c r="A79" s="54" t="s">
        <v>226</v>
      </c>
      <c r="B79" s="21" t="s">
        <v>57</v>
      </c>
      <c r="C79" s="21" t="s">
        <v>8</v>
      </c>
      <c r="D79" s="21" t="s">
        <v>12</v>
      </c>
      <c r="E79" s="22" t="s">
        <v>227</v>
      </c>
      <c r="F79" s="21"/>
      <c r="G79" s="15"/>
      <c r="H79" s="98">
        <f>H80+H83</f>
        <v>1290.4</v>
      </c>
      <c r="I79" s="98">
        <f>I80+I83</f>
        <v>1290.4</v>
      </c>
      <c r="J79" s="99">
        <f t="shared" si="5"/>
        <v>100</v>
      </c>
    </row>
    <row r="80" spans="1:10" ht="15.75">
      <c r="A80" s="20" t="s">
        <v>82</v>
      </c>
      <c r="B80" s="21" t="s">
        <v>57</v>
      </c>
      <c r="C80" s="21" t="s">
        <v>8</v>
      </c>
      <c r="D80" s="21" t="s">
        <v>12</v>
      </c>
      <c r="E80" s="22" t="s">
        <v>227</v>
      </c>
      <c r="F80" s="21" t="s">
        <v>81</v>
      </c>
      <c r="G80" s="15"/>
      <c r="H80" s="98">
        <f>H81+H82</f>
        <v>886</v>
      </c>
      <c r="I80" s="98">
        <f>I81+I82</f>
        <v>886</v>
      </c>
      <c r="J80" s="99">
        <f t="shared" si="5"/>
        <v>100</v>
      </c>
    </row>
    <row r="81" spans="1:10" ht="15.75">
      <c r="A81" s="20" t="s">
        <v>191</v>
      </c>
      <c r="B81" s="21" t="s">
        <v>57</v>
      </c>
      <c r="C81" s="21" t="s">
        <v>8</v>
      </c>
      <c r="D81" s="21" t="s">
        <v>12</v>
      </c>
      <c r="E81" s="22" t="s">
        <v>227</v>
      </c>
      <c r="F81" s="21" t="s">
        <v>83</v>
      </c>
      <c r="G81" s="15"/>
      <c r="H81" s="98">
        <v>680</v>
      </c>
      <c r="I81" s="98">
        <v>680</v>
      </c>
      <c r="J81" s="99">
        <f t="shared" si="5"/>
        <v>100</v>
      </c>
    </row>
    <row r="82" spans="1:10" ht="31.5">
      <c r="A82" s="20" t="s">
        <v>192</v>
      </c>
      <c r="B82" s="21" t="s">
        <v>57</v>
      </c>
      <c r="C82" s="21" t="s">
        <v>8</v>
      </c>
      <c r="D82" s="21" t="s">
        <v>12</v>
      </c>
      <c r="E82" s="22" t="s">
        <v>227</v>
      </c>
      <c r="F82" s="21" t="s">
        <v>193</v>
      </c>
      <c r="G82" s="15"/>
      <c r="H82" s="98">
        <v>206</v>
      </c>
      <c r="I82" s="98">
        <v>206</v>
      </c>
      <c r="J82" s="99">
        <f t="shared" si="5"/>
        <v>100</v>
      </c>
    </row>
    <row r="83" spans="1:10" ht="15.75">
      <c r="A83" s="20" t="s">
        <v>88</v>
      </c>
      <c r="B83" s="21" t="s">
        <v>57</v>
      </c>
      <c r="C83" s="21" t="s">
        <v>8</v>
      </c>
      <c r="D83" s="21" t="s">
        <v>12</v>
      </c>
      <c r="E83" s="22" t="s">
        <v>227</v>
      </c>
      <c r="F83" s="21" t="s">
        <v>87</v>
      </c>
      <c r="G83" s="15"/>
      <c r="H83" s="98">
        <f>H84+H85</f>
        <v>404.40000000000003</v>
      </c>
      <c r="I83" s="98">
        <f>I84+I85</f>
        <v>404.40000000000003</v>
      </c>
      <c r="J83" s="99">
        <f t="shared" si="5"/>
        <v>100</v>
      </c>
    </row>
    <row r="84" spans="1:10" ht="31.5">
      <c r="A84" s="20" t="s">
        <v>92</v>
      </c>
      <c r="B84" s="21" t="s">
        <v>57</v>
      </c>
      <c r="C84" s="21" t="s">
        <v>8</v>
      </c>
      <c r="D84" s="21" t="s">
        <v>12</v>
      </c>
      <c r="E84" s="22" t="s">
        <v>227</v>
      </c>
      <c r="F84" s="21" t="s">
        <v>89</v>
      </c>
      <c r="G84" s="15"/>
      <c r="H84" s="98">
        <v>70.764</v>
      </c>
      <c r="I84" s="98">
        <v>70.764</v>
      </c>
      <c r="J84" s="99">
        <f t="shared" si="5"/>
        <v>100</v>
      </c>
    </row>
    <row r="85" spans="1:10" ht="15.75">
      <c r="A85" s="20" t="s">
        <v>91</v>
      </c>
      <c r="B85" s="21" t="s">
        <v>57</v>
      </c>
      <c r="C85" s="21" t="s">
        <v>8</v>
      </c>
      <c r="D85" s="21" t="s">
        <v>12</v>
      </c>
      <c r="E85" s="22" t="s">
        <v>227</v>
      </c>
      <c r="F85" s="21" t="s">
        <v>90</v>
      </c>
      <c r="G85" s="15"/>
      <c r="H85" s="98">
        <v>333.636</v>
      </c>
      <c r="I85" s="98">
        <v>333.636</v>
      </c>
      <c r="J85" s="99">
        <f t="shared" si="5"/>
        <v>100</v>
      </c>
    </row>
    <row r="86" spans="1:10" ht="47.25">
      <c r="A86" s="20" t="s">
        <v>142</v>
      </c>
      <c r="B86" s="21" t="s">
        <v>57</v>
      </c>
      <c r="C86" s="21" t="s">
        <v>8</v>
      </c>
      <c r="D86" s="21" t="s">
        <v>12</v>
      </c>
      <c r="E86" s="21" t="s">
        <v>209</v>
      </c>
      <c r="F86" s="21"/>
      <c r="G86" s="15" t="e">
        <f>#REF!+#REF!+#REF!</f>
        <v>#REF!</v>
      </c>
      <c r="H86" s="98">
        <f>H87+H103</f>
        <v>69694.01732</v>
      </c>
      <c r="I86" s="98">
        <f>I87+I103</f>
        <v>66667.71725999999</v>
      </c>
      <c r="J86" s="99">
        <f t="shared" si="5"/>
        <v>95.65773336597206</v>
      </c>
    </row>
    <row r="87" spans="1:10" ht="31.5">
      <c r="A87" s="20" t="s">
        <v>143</v>
      </c>
      <c r="B87" s="21" t="s">
        <v>57</v>
      </c>
      <c r="C87" s="21" t="s">
        <v>8</v>
      </c>
      <c r="D87" s="21" t="s">
        <v>12</v>
      </c>
      <c r="E87" s="21" t="s">
        <v>228</v>
      </c>
      <c r="F87" s="21"/>
      <c r="G87" s="15" t="e">
        <f>#REF!+#REF!+#REF!</f>
        <v>#REF!</v>
      </c>
      <c r="H87" s="98">
        <f>H88+H94</f>
        <v>69677.11732</v>
      </c>
      <c r="I87" s="98">
        <f>I88+I94</f>
        <v>66650.81726</v>
      </c>
      <c r="J87" s="99">
        <f t="shared" si="5"/>
        <v>95.65668016071707</v>
      </c>
    </row>
    <row r="88" spans="1:10" ht="31.5">
      <c r="A88" s="20" t="s">
        <v>229</v>
      </c>
      <c r="B88" s="21" t="s">
        <v>57</v>
      </c>
      <c r="C88" s="21" t="s">
        <v>8</v>
      </c>
      <c r="D88" s="21" t="s">
        <v>12</v>
      </c>
      <c r="E88" s="21" t="s">
        <v>230</v>
      </c>
      <c r="F88" s="21"/>
      <c r="G88" s="15"/>
      <c r="H88" s="98">
        <f>H89</f>
        <v>56223.345</v>
      </c>
      <c r="I88" s="98">
        <f>I89</f>
        <v>55150.28273</v>
      </c>
      <c r="J88" s="99">
        <f t="shared" si="5"/>
        <v>98.09142933420272</v>
      </c>
    </row>
    <row r="89" spans="1:10" ht="15.75">
      <c r="A89" s="20" t="s">
        <v>82</v>
      </c>
      <c r="B89" s="21" t="s">
        <v>57</v>
      </c>
      <c r="C89" s="21" t="s">
        <v>8</v>
      </c>
      <c r="D89" s="21" t="s">
        <v>12</v>
      </c>
      <c r="E89" s="21" t="s">
        <v>230</v>
      </c>
      <c r="F89" s="21" t="s">
        <v>81</v>
      </c>
      <c r="G89" s="15"/>
      <c r="H89" s="98">
        <f>H90+H91+H92+H93</f>
        <v>56223.345</v>
      </c>
      <c r="I89" s="98">
        <f>I90+I91+I92+I93</f>
        <v>55150.28273</v>
      </c>
      <c r="J89" s="99">
        <f t="shared" si="5"/>
        <v>98.09142933420272</v>
      </c>
    </row>
    <row r="90" spans="1:10" ht="15.75">
      <c r="A90" s="20" t="s">
        <v>84</v>
      </c>
      <c r="B90" s="21" t="s">
        <v>57</v>
      </c>
      <c r="C90" s="21" t="s">
        <v>8</v>
      </c>
      <c r="D90" s="21" t="s">
        <v>12</v>
      </c>
      <c r="E90" s="21" t="s">
        <v>230</v>
      </c>
      <c r="F90" s="21" t="s">
        <v>83</v>
      </c>
      <c r="G90" s="15"/>
      <c r="H90" s="98">
        <f>43365.19+28.358</f>
        <v>43393.548</v>
      </c>
      <c r="I90" s="98">
        <v>42651.73411</v>
      </c>
      <c r="J90" s="99">
        <f t="shared" si="5"/>
        <v>98.29049726470855</v>
      </c>
    </row>
    <row r="91" spans="1:10" ht="15.75" hidden="1">
      <c r="A91" s="20" t="s">
        <v>86</v>
      </c>
      <c r="B91" s="21" t="s">
        <v>57</v>
      </c>
      <c r="C91" s="21" t="s">
        <v>8</v>
      </c>
      <c r="D91" s="21" t="s">
        <v>12</v>
      </c>
      <c r="E91" s="21" t="s">
        <v>230</v>
      </c>
      <c r="F91" s="21" t="s">
        <v>85</v>
      </c>
      <c r="G91" s="15"/>
      <c r="H91" s="98"/>
      <c r="I91" s="98"/>
      <c r="J91" s="99" t="e">
        <f t="shared" si="5"/>
        <v>#DIV/0!</v>
      </c>
    </row>
    <row r="92" spans="1:10" ht="47.25" hidden="1">
      <c r="A92" s="20" t="s">
        <v>128</v>
      </c>
      <c r="B92" s="21" t="s">
        <v>57</v>
      </c>
      <c r="C92" s="21" t="s">
        <v>8</v>
      </c>
      <c r="D92" s="21" t="s">
        <v>12</v>
      </c>
      <c r="E92" s="21" t="s">
        <v>230</v>
      </c>
      <c r="F92" s="21" t="s">
        <v>127</v>
      </c>
      <c r="G92" s="15"/>
      <c r="H92" s="98"/>
      <c r="I92" s="98"/>
      <c r="J92" s="99" t="e">
        <f t="shared" si="5"/>
        <v>#DIV/0!</v>
      </c>
    </row>
    <row r="93" spans="1:10" ht="31.5">
      <c r="A93" s="20" t="s">
        <v>192</v>
      </c>
      <c r="B93" s="21" t="s">
        <v>57</v>
      </c>
      <c r="C93" s="21" t="s">
        <v>8</v>
      </c>
      <c r="D93" s="21" t="s">
        <v>12</v>
      </c>
      <c r="E93" s="21" t="s">
        <v>230</v>
      </c>
      <c r="F93" s="21" t="s">
        <v>193</v>
      </c>
      <c r="G93" s="15"/>
      <c r="H93" s="98">
        <f>12685.797+144</f>
        <v>12829.797</v>
      </c>
      <c r="I93" s="98">
        <v>12498.54862</v>
      </c>
      <c r="J93" s="99">
        <f t="shared" si="5"/>
        <v>97.4181323367782</v>
      </c>
    </row>
    <row r="94" spans="1:10" ht="15.75">
      <c r="A94" s="20" t="s">
        <v>231</v>
      </c>
      <c r="B94" s="21" t="s">
        <v>57</v>
      </c>
      <c r="C94" s="21" t="s">
        <v>8</v>
      </c>
      <c r="D94" s="21" t="s">
        <v>12</v>
      </c>
      <c r="E94" s="21" t="s">
        <v>232</v>
      </c>
      <c r="F94" s="21"/>
      <c r="G94" s="15"/>
      <c r="H94" s="98">
        <f>H95+H97+H100</f>
        <v>13453.772320000002</v>
      </c>
      <c r="I94" s="98">
        <f>I95+I97+I100</f>
        <v>11500.53453</v>
      </c>
      <c r="J94" s="99">
        <f t="shared" si="5"/>
        <v>85.48185784966516</v>
      </c>
    </row>
    <row r="95" spans="1:10" ht="15.75">
      <c r="A95" s="20" t="s">
        <v>82</v>
      </c>
      <c r="B95" s="21" t="s">
        <v>57</v>
      </c>
      <c r="C95" s="21" t="s">
        <v>8</v>
      </c>
      <c r="D95" s="21" t="s">
        <v>12</v>
      </c>
      <c r="E95" s="21" t="s">
        <v>232</v>
      </c>
      <c r="F95" s="21" t="s">
        <v>81</v>
      </c>
      <c r="G95" s="15"/>
      <c r="H95" s="98">
        <f>H96</f>
        <v>2280</v>
      </c>
      <c r="I95" s="98">
        <f>I96</f>
        <v>2024.95422</v>
      </c>
      <c r="J95" s="99">
        <f t="shared" si="5"/>
        <v>88.81378157894737</v>
      </c>
    </row>
    <row r="96" spans="1:10" ht="15.75">
      <c r="A96" s="20" t="s">
        <v>86</v>
      </c>
      <c r="B96" s="21" t="s">
        <v>57</v>
      </c>
      <c r="C96" s="21" t="s">
        <v>8</v>
      </c>
      <c r="D96" s="21" t="s">
        <v>12</v>
      </c>
      <c r="E96" s="21" t="s">
        <v>232</v>
      </c>
      <c r="F96" s="21" t="s">
        <v>85</v>
      </c>
      <c r="G96" s="15"/>
      <c r="H96" s="98">
        <v>2280</v>
      </c>
      <c r="I96" s="98">
        <v>2024.95422</v>
      </c>
      <c r="J96" s="99">
        <f t="shared" si="5"/>
        <v>88.81378157894737</v>
      </c>
    </row>
    <row r="97" spans="1:10" ht="15.75">
      <c r="A97" s="20" t="s">
        <v>88</v>
      </c>
      <c r="B97" s="21" t="s">
        <v>57</v>
      </c>
      <c r="C97" s="21" t="s">
        <v>8</v>
      </c>
      <c r="D97" s="21" t="s">
        <v>12</v>
      </c>
      <c r="E97" s="21" t="s">
        <v>232</v>
      </c>
      <c r="F97" s="21" t="s">
        <v>87</v>
      </c>
      <c r="G97" s="15"/>
      <c r="H97" s="98">
        <f>H98+H99</f>
        <v>10758.772320000002</v>
      </c>
      <c r="I97" s="98">
        <f>I98+I99</f>
        <v>9062.12101</v>
      </c>
      <c r="J97" s="99">
        <f t="shared" si="5"/>
        <v>84.23006585197444</v>
      </c>
    </row>
    <row r="98" spans="1:10" ht="31.5">
      <c r="A98" s="20" t="s">
        <v>92</v>
      </c>
      <c r="B98" s="21" t="s">
        <v>57</v>
      </c>
      <c r="C98" s="21" t="s">
        <v>8</v>
      </c>
      <c r="D98" s="21" t="s">
        <v>12</v>
      </c>
      <c r="E98" s="21" t="s">
        <v>232</v>
      </c>
      <c r="F98" s="21" t="s">
        <v>89</v>
      </c>
      <c r="G98" s="15"/>
      <c r="H98" s="98">
        <f>1608.113+35+57.8</f>
        <v>1700.913</v>
      </c>
      <c r="I98" s="98">
        <v>1587.05394</v>
      </c>
      <c r="J98" s="99">
        <f t="shared" si="5"/>
        <v>93.3060033052837</v>
      </c>
    </row>
    <row r="99" spans="1:10" ht="15.75">
      <c r="A99" s="20" t="s">
        <v>215</v>
      </c>
      <c r="B99" s="21" t="s">
        <v>57</v>
      </c>
      <c r="C99" s="21" t="s">
        <v>8</v>
      </c>
      <c r="D99" s="21" t="s">
        <v>12</v>
      </c>
      <c r="E99" s="21" t="s">
        <v>232</v>
      </c>
      <c r="F99" s="21" t="s">
        <v>90</v>
      </c>
      <c r="G99" s="15"/>
      <c r="H99" s="98">
        <f>9259.65932-144-57.8</f>
        <v>9057.859320000001</v>
      </c>
      <c r="I99" s="98">
        <v>7475.06707</v>
      </c>
      <c r="J99" s="99">
        <f t="shared" si="5"/>
        <v>82.52575808386477</v>
      </c>
    </row>
    <row r="100" spans="1:10" ht="15.75">
      <c r="A100" s="20" t="s">
        <v>93</v>
      </c>
      <c r="B100" s="21" t="s">
        <v>57</v>
      </c>
      <c r="C100" s="21" t="s">
        <v>8</v>
      </c>
      <c r="D100" s="21" t="s">
        <v>12</v>
      </c>
      <c r="E100" s="21" t="s">
        <v>232</v>
      </c>
      <c r="F100" s="21" t="s">
        <v>94</v>
      </c>
      <c r="G100" s="15"/>
      <c r="H100" s="98">
        <f>H101+H102</f>
        <v>415</v>
      </c>
      <c r="I100" s="98">
        <f>I101+I102</f>
        <v>413.4593</v>
      </c>
      <c r="J100" s="99">
        <f t="shared" si="5"/>
        <v>99.6287469879518</v>
      </c>
    </row>
    <row r="101" spans="1:10" ht="15.75">
      <c r="A101" s="20" t="s">
        <v>97</v>
      </c>
      <c r="B101" s="21" t="s">
        <v>57</v>
      </c>
      <c r="C101" s="21" t="s">
        <v>8</v>
      </c>
      <c r="D101" s="21" t="s">
        <v>12</v>
      </c>
      <c r="E101" s="21" t="s">
        <v>232</v>
      </c>
      <c r="F101" s="21" t="s">
        <v>95</v>
      </c>
      <c r="G101" s="15"/>
      <c r="H101" s="98">
        <f>300-13</f>
        <v>287</v>
      </c>
      <c r="I101" s="98">
        <v>286.034</v>
      </c>
      <c r="J101" s="99">
        <f t="shared" si="5"/>
        <v>99.66341463414633</v>
      </c>
    </row>
    <row r="102" spans="1:10" ht="15.75">
      <c r="A102" s="20" t="s">
        <v>233</v>
      </c>
      <c r="B102" s="21" t="s">
        <v>57</v>
      </c>
      <c r="C102" s="21" t="s">
        <v>8</v>
      </c>
      <c r="D102" s="21" t="s">
        <v>12</v>
      </c>
      <c r="E102" s="21" t="s">
        <v>232</v>
      </c>
      <c r="F102" s="21" t="s">
        <v>96</v>
      </c>
      <c r="G102" s="15"/>
      <c r="H102" s="98">
        <f>150-22</f>
        <v>128</v>
      </c>
      <c r="I102" s="98">
        <v>127.4253</v>
      </c>
      <c r="J102" s="99">
        <f t="shared" si="5"/>
        <v>99.55101562499999</v>
      </c>
    </row>
    <row r="103" spans="1:10" ht="31.5">
      <c r="A103" s="20" t="s">
        <v>144</v>
      </c>
      <c r="B103" s="21" t="s">
        <v>57</v>
      </c>
      <c r="C103" s="21" t="s">
        <v>8</v>
      </c>
      <c r="D103" s="21" t="s">
        <v>12</v>
      </c>
      <c r="E103" s="21" t="s">
        <v>234</v>
      </c>
      <c r="F103" s="21"/>
      <c r="G103" s="15"/>
      <c r="H103" s="98">
        <f>H104+H106</f>
        <v>16.9</v>
      </c>
      <c r="I103" s="98">
        <f>I104+I106</f>
        <v>16.9</v>
      </c>
      <c r="J103" s="99">
        <f t="shared" si="5"/>
        <v>100</v>
      </c>
    </row>
    <row r="104" spans="1:10" ht="15.75" hidden="1">
      <c r="A104" s="20" t="s">
        <v>82</v>
      </c>
      <c r="B104" s="21" t="s">
        <v>57</v>
      </c>
      <c r="C104" s="21" t="s">
        <v>8</v>
      </c>
      <c r="D104" s="21" t="s">
        <v>12</v>
      </c>
      <c r="E104" s="21" t="s">
        <v>234</v>
      </c>
      <c r="F104" s="21" t="s">
        <v>81</v>
      </c>
      <c r="G104" s="15"/>
      <c r="H104" s="98">
        <f>H105</f>
        <v>0</v>
      </c>
      <c r="I104" s="98">
        <f>I105</f>
        <v>0</v>
      </c>
      <c r="J104" s="99" t="e">
        <f t="shared" si="5"/>
        <v>#DIV/0!</v>
      </c>
    </row>
    <row r="105" spans="1:10" ht="15.75" hidden="1">
      <c r="A105" s="20" t="s">
        <v>86</v>
      </c>
      <c r="B105" s="21" t="s">
        <v>57</v>
      </c>
      <c r="C105" s="21" t="s">
        <v>8</v>
      </c>
      <c r="D105" s="21" t="s">
        <v>12</v>
      </c>
      <c r="E105" s="21" t="s">
        <v>234</v>
      </c>
      <c r="F105" s="21" t="s">
        <v>85</v>
      </c>
      <c r="G105" s="15"/>
      <c r="H105" s="98"/>
      <c r="I105" s="98"/>
      <c r="J105" s="99" t="e">
        <f t="shared" si="5"/>
        <v>#DIV/0!</v>
      </c>
    </row>
    <row r="106" spans="1:10" ht="15.75">
      <c r="A106" s="20" t="s">
        <v>235</v>
      </c>
      <c r="B106" s="21" t="s">
        <v>57</v>
      </c>
      <c r="C106" s="21" t="s">
        <v>8</v>
      </c>
      <c r="D106" s="21" t="s">
        <v>12</v>
      </c>
      <c r="E106" s="21" t="s">
        <v>234</v>
      </c>
      <c r="F106" s="21" t="s">
        <v>87</v>
      </c>
      <c r="G106" s="15"/>
      <c r="H106" s="98">
        <f>H107</f>
        <v>16.9</v>
      </c>
      <c r="I106" s="98">
        <f>I107</f>
        <v>16.9</v>
      </c>
      <c r="J106" s="99">
        <f t="shared" si="5"/>
        <v>100</v>
      </c>
    </row>
    <row r="107" spans="1:10" ht="15.75">
      <c r="A107" s="20" t="s">
        <v>215</v>
      </c>
      <c r="B107" s="21" t="s">
        <v>57</v>
      </c>
      <c r="C107" s="21" t="s">
        <v>8</v>
      </c>
      <c r="D107" s="21" t="s">
        <v>12</v>
      </c>
      <c r="E107" s="21" t="s">
        <v>234</v>
      </c>
      <c r="F107" s="21" t="s">
        <v>90</v>
      </c>
      <c r="G107" s="15"/>
      <c r="H107" s="98">
        <f>30-13.1</f>
        <v>16.9</v>
      </c>
      <c r="I107" s="98">
        <f>30-13.1</f>
        <v>16.9</v>
      </c>
      <c r="J107" s="99">
        <f t="shared" si="5"/>
        <v>100</v>
      </c>
    </row>
    <row r="108" spans="1:10" ht="15.75">
      <c r="A108" s="20" t="s">
        <v>178</v>
      </c>
      <c r="B108" s="21" t="s">
        <v>57</v>
      </c>
      <c r="C108" s="21" t="s">
        <v>8</v>
      </c>
      <c r="D108" s="21" t="s">
        <v>22</v>
      </c>
      <c r="E108" s="21"/>
      <c r="F108" s="21"/>
      <c r="G108" s="15"/>
      <c r="H108" s="98">
        <f aca="true" t="shared" si="6" ref="H108:I110">H109</f>
        <v>68.982</v>
      </c>
      <c r="I108" s="98">
        <f t="shared" si="6"/>
        <v>21.358</v>
      </c>
      <c r="J108" s="99">
        <f t="shared" si="5"/>
        <v>30.961700153663273</v>
      </c>
    </row>
    <row r="109" spans="1:10" ht="47.25">
      <c r="A109" s="54" t="s">
        <v>236</v>
      </c>
      <c r="B109" s="21" t="s">
        <v>57</v>
      </c>
      <c r="C109" s="21" t="s">
        <v>8</v>
      </c>
      <c r="D109" s="21" t="s">
        <v>22</v>
      </c>
      <c r="E109" s="21" t="s">
        <v>237</v>
      </c>
      <c r="F109" s="21"/>
      <c r="G109" s="15"/>
      <c r="H109" s="98">
        <f t="shared" si="6"/>
        <v>68.982</v>
      </c>
      <c r="I109" s="98">
        <f t="shared" si="6"/>
        <v>21.358</v>
      </c>
      <c r="J109" s="99">
        <f t="shared" si="5"/>
        <v>30.961700153663273</v>
      </c>
    </row>
    <row r="110" spans="1:10" ht="47.25">
      <c r="A110" s="54" t="s">
        <v>238</v>
      </c>
      <c r="B110" s="21" t="s">
        <v>57</v>
      </c>
      <c r="C110" s="21" t="s">
        <v>8</v>
      </c>
      <c r="D110" s="21" t="s">
        <v>22</v>
      </c>
      <c r="E110" s="21" t="s">
        <v>239</v>
      </c>
      <c r="F110" s="21"/>
      <c r="G110" s="15"/>
      <c r="H110" s="98">
        <f t="shared" si="6"/>
        <v>68.982</v>
      </c>
      <c r="I110" s="98">
        <f t="shared" si="6"/>
        <v>21.358</v>
      </c>
      <c r="J110" s="99">
        <f t="shared" si="5"/>
        <v>30.961700153663273</v>
      </c>
    </row>
    <row r="111" spans="1:10" ht="15.75">
      <c r="A111" s="20" t="s">
        <v>91</v>
      </c>
      <c r="B111" s="21" t="s">
        <v>57</v>
      </c>
      <c r="C111" s="21" t="s">
        <v>8</v>
      </c>
      <c r="D111" s="21" t="s">
        <v>22</v>
      </c>
      <c r="E111" s="21" t="s">
        <v>239</v>
      </c>
      <c r="F111" s="21" t="s">
        <v>90</v>
      </c>
      <c r="G111" s="15"/>
      <c r="H111" s="98">
        <v>68.982</v>
      </c>
      <c r="I111" s="98">
        <v>21.358</v>
      </c>
      <c r="J111" s="99">
        <f t="shared" si="5"/>
        <v>30.961700153663273</v>
      </c>
    </row>
    <row r="112" spans="1:10" ht="15.75">
      <c r="A112" s="20" t="s">
        <v>16</v>
      </c>
      <c r="B112" s="21" t="s">
        <v>57</v>
      </c>
      <c r="C112" s="21" t="s">
        <v>8</v>
      </c>
      <c r="D112" s="21" t="s">
        <v>48</v>
      </c>
      <c r="E112" s="21"/>
      <c r="F112" s="21"/>
      <c r="G112" s="15" t="e">
        <f>#REF!+#REF!+#REF!</f>
        <v>#REF!</v>
      </c>
      <c r="H112" s="98">
        <f>H113</f>
        <v>2000</v>
      </c>
      <c r="I112" s="98">
        <f>I113</f>
        <v>0</v>
      </c>
      <c r="J112" s="99">
        <f t="shared" si="5"/>
        <v>0</v>
      </c>
    </row>
    <row r="113" spans="1:10" ht="47.25">
      <c r="A113" s="20" t="s">
        <v>142</v>
      </c>
      <c r="B113" s="21" t="s">
        <v>57</v>
      </c>
      <c r="C113" s="21" t="s">
        <v>8</v>
      </c>
      <c r="D113" s="21" t="s">
        <v>48</v>
      </c>
      <c r="E113" s="21" t="s">
        <v>209</v>
      </c>
      <c r="F113" s="21"/>
      <c r="G113" s="15" t="e">
        <f>#REF!+#REF!+#REF!</f>
        <v>#REF!</v>
      </c>
      <c r="H113" s="98">
        <f>H114</f>
        <v>2000</v>
      </c>
      <c r="I113" s="98">
        <f>I114</f>
        <v>0</v>
      </c>
      <c r="J113" s="99">
        <f t="shared" si="5"/>
        <v>0</v>
      </c>
    </row>
    <row r="114" spans="1:10" ht="15.75">
      <c r="A114" s="20" t="s">
        <v>240</v>
      </c>
      <c r="B114" s="21" t="s">
        <v>57</v>
      </c>
      <c r="C114" s="21" t="s">
        <v>8</v>
      </c>
      <c r="D114" s="21" t="s">
        <v>48</v>
      </c>
      <c r="E114" s="21" t="s">
        <v>241</v>
      </c>
      <c r="F114" s="21"/>
      <c r="G114" s="15" t="e">
        <f>#REF!+#REF!+#REF!</f>
        <v>#REF!</v>
      </c>
      <c r="H114" s="98">
        <f>+H115</f>
        <v>2000</v>
      </c>
      <c r="I114" s="98">
        <f>+I115</f>
        <v>0</v>
      </c>
      <c r="J114" s="99">
        <f t="shared" si="5"/>
        <v>0</v>
      </c>
    </row>
    <row r="115" spans="1:10" ht="15.75">
      <c r="A115" s="20" t="s">
        <v>99</v>
      </c>
      <c r="B115" s="21" t="s">
        <v>57</v>
      </c>
      <c r="C115" s="21" t="s">
        <v>8</v>
      </c>
      <c r="D115" s="21" t="s">
        <v>48</v>
      </c>
      <c r="E115" s="21" t="s">
        <v>241</v>
      </c>
      <c r="F115" s="21" t="s">
        <v>98</v>
      </c>
      <c r="G115" s="15"/>
      <c r="H115" s="98">
        <v>2000</v>
      </c>
      <c r="I115" s="98"/>
      <c r="J115" s="99">
        <f t="shared" si="5"/>
        <v>0</v>
      </c>
    </row>
    <row r="116" spans="1:10" ht="15.75">
      <c r="A116" s="20" t="s">
        <v>17</v>
      </c>
      <c r="B116" s="21" t="s">
        <v>57</v>
      </c>
      <c r="C116" s="21" t="s">
        <v>8</v>
      </c>
      <c r="D116" s="21" t="s">
        <v>70</v>
      </c>
      <c r="E116" s="21"/>
      <c r="F116" s="21"/>
      <c r="G116" s="15" t="e">
        <f>#REF!+#REF!+#REF!</f>
        <v>#REF!</v>
      </c>
      <c r="H116" s="98">
        <f>H117+H121+H124+H127+H129+H133+H137</f>
        <v>8907.196769999999</v>
      </c>
      <c r="I116" s="98">
        <f>I117+I121+I124+I127+I129+I133+I137</f>
        <v>8555.6667</v>
      </c>
      <c r="J116" s="99">
        <f t="shared" si="5"/>
        <v>96.05341524300918</v>
      </c>
    </row>
    <row r="117" spans="1:10" ht="47.25">
      <c r="A117" s="20" t="s">
        <v>242</v>
      </c>
      <c r="B117" s="21" t="s">
        <v>57</v>
      </c>
      <c r="C117" s="21" t="s">
        <v>8</v>
      </c>
      <c r="D117" s="21" t="s">
        <v>70</v>
      </c>
      <c r="E117" s="21" t="s">
        <v>243</v>
      </c>
      <c r="F117" s="21"/>
      <c r="G117" s="15"/>
      <c r="H117" s="98">
        <f aca="true" t="shared" si="7" ref="H117:I119">H118</f>
        <v>25.25</v>
      </c>
      <c r="I117" s="98">
        <f t="shared" si="7"/>
        <v>25.25</v>
      </c>
      <c r="J117" s="99">
        <f t="shared" si="5"/>
        <v>100</v>
      </c>
    </row>
    <row r="118" spans="1:10" ht="31.5">
      <c r="A118" s="20" t="s">
        <v>244</v>
      </c>
      <c r="B118" s="21" t="s">
        <v>57</v>
      </c>
      <c r="C118" s="21" t="s">
        <v>8</v>
      </c>
      <c r="D118" s="21" t="s">
        <v>70</v>
      </c>
      <c r="E118" s="21" t="s">
        <v>245</v>
      </c>
      <c r="F118" s="21"/>
      <c r="G118" s="15"/>
      <c r="H118" s="98">
        <f t="shared" si="7"/>
        <v>25.25</v>
      </c>
      <c r="I118" s="98">
        <f t="shared" si="7"/>
        <v>25.25</v>
      </c>
      <c r="J118" s="99">
        <f t="shared" si="5"/>
        <v>100</v>
      </c>
    </row>
    <row r="119" spans="1:10" ht="31.5">
      <c r="A119" s="20" t="s">
        <v>246</v>
      </c>
      <c r="B119" s="21" t="s">
        <v>57</v>
      </c>
      <c r="C119" s="21" t="s">
        <v>8</v>
      </c>
      <c r="D119" s="21" t="s">
        <v>70</v>
      </c>
      <c r="E119" s="21" t="s">
        <v>247</v>
      </c>
      <c r="F119" s="21"/>
      <c r="G119" s="15"/>
      <c r="H119" s="98">
        <f t="shared" si="7"/>
        <v>25.25</v>
      </c>
      <c r="I119" s="98">
        <f t="shared" si="7"/>
        <v>25.25</v>
      </c>
      <c r="J119" s="99">
        <f t="shared" si="5"/>
        <v>100</v>
      </c>
    </row>
    <row r="120" spans="1:10" ht="15.75">
      <c r="A120" s="20" t="s">
        <v>140</v>
      </c>
      <c r="B120" s="21" t="s">
        <v>57</v>
      </c>
      <c r="C120" s="21" t="s">
        <v>8</v>
      </c>
      <c r="D120" s="21" t="s">
        <v>70</v>
      </c>
      <c r="E120" s="21" t="s">
        <v>247</v>
      </c>
      <c r="F120" s="21" t="s">
        <v>90</v>
      </c>
      <c r="G120" s="15"/>
      <c r="H120" s="98">
        <f>144-118.75</f>
        <v>25.25</v>
      </c>
      <c r="I120" s="98">
        <f>144-118.75</f>
        <v>25.25</v>
      </c>
      <c r="J120" s="99">
        <f aca="true" t="shared" si="8" ref="J120:J183">I120/H120*100</f>
        <v>100</v>
      </c>
    </row>
    <row r="121" spans="1:10" ht="15.75">
      <c r="A121" s="20" t="s">
        <v>248</v>
      </c>
      <c r="B121" s="21" t="s">
        <v>57</v>
      </c>
      <c r="C121" s="21" t="s">
        <v>8</v>
      </c>
      <c r="D121" s="21" t="s">
        <v>70</v>
      </c>
      <c r="E121" s="21" t="s">
        <v>249</v>
      </c>
      <c r="F121" s="21"/>
      <c r="G121" s="15"/>
      <c r="H121" s="98">
        <f>H123+H122</f>
        <v>45.7175</v>
      </c>
      <c r="I121" s="98">
        <f>I123+I122</f>
        <v>45.7175</v>
      </c>
      <c r="J121" s="99">
        <f t="shared" si="8"/>
        <v>100</v>
      </c>
    </row>
    <row r="122" spans="1:10" ht="31.5">
      <c r="A122" s="20" t="s">
        <v>92</v>
      </c>
      <c r="B122" s="21" t="s">
        <v>57</v>
      </c>
      <c r="C122" s="21" t="s">
        <v>8</v>
      </c>
      <c r="D122" s="21" t="s">
        <v>70</v>
      </c>
      <c r="E122" s="21" t="s">
        <v>249</v>
      </c>
      <c r="F122" s="21" t="s">
        <v>89</v>
      </c>
      <c r="G122" s="15"/>
      <c r="H122" s="98">
        <v>1.7795</v>
      </c>
      <c r="I122" s="98">
        <v>1.7795</v>
      </c>
      <c r="J122" s="99">
        <f t="shared" si="8"/>
        <v>100</v>
      </c>
    </row>
    <row r="123" spans="1:10" ht="15.75">
      <c r="A123" s="20" t="s">
        <v>140</v>
      </c>
      <c r="B123" s="21" t="s">
        <v>57</v>
      </c>
      <c r="C123" s="21" t="s">
        <v>8</v>
      </c>
      <c r="D123" s="21" t="s">
        <v>70</v>
      </c>
      <c r="E123" s="21" t="s">
        <v>249</v>
      </c>
      <c r="F123" s="21" t="s">
        <v>90</v>
      </c>
      <c r="G123" s="15"/>
      <c r="H123" s="98">
        <v>43.938</v>
      </c>
      <c r="I123" s="98">
        <v>43.938</v>
      </c>
      <c r="J123" s="99">
        <f t="shared" si="8"/>
        <v>100</v>
      </c>
    </row>
    <row r="124" spans="1:10" ht="31.5">
      <c r="A124" s="20" t="s">
        <v>250</v>
      </c>
      <c r="B124" s="21" t="s">
        <v>57</v>
      </c>
      <c r="C124" s="21" t="s">
        <v>8</v>
      </c>
      <c r="D124" s="21" t="s">
        <v>70</v>
      </c>
      <c r="E124" s="21" t="s">
        <v>251</v>
      </c>
      <c r="F124" s="21"/>
      <c r="G124" s="15"/>
      <c r="H124" s="98">
        <f>H125</f>
        <v>0.1</v>
      </c>
      <c r="I124" s="98">
        <f>I125</f>
        <v>0</v>
      </c>
      <c r="J124" s="99">
        <f t="shared" si="8"/>
        <v>0</v>
      </c>
    </row>
    <row r="125" spans="1:10" ht="31.5">
      <c r="A125" s="20" t="s">
        <v>252</v>
      </c>
      <c r="B125" s="21" t="s">
        <v>57</v>
      </c>
      <c r="C125" s="21" t="s">
        <v>8</v>
      </c>
      <c r="D125" s="21" t="s">
        <v>70</v>
      </c>
      <c r="E125" s="21" t="s">
        <v>253</v>
      </c>
      <c r="F125" s="21"/>
      <c r="G125" s="15"/>
      <c r="H125" s="98">
        <f>H126</f>
        <v>0.1</v>
      </c>
      <c r="I125" s="98">
        <f>I126</f>
        <v>0</v>
      </c>
      <c r="J125" s="99">
        <f t="shared" si="8"/>
        <v>0</v>
      </c>
    </row>
    <row r="126" spans="1:10" ht="15.75">
      <c r="A126" s="20" t="s">
        <v>140</v>
      </c>
      <c r="B126" s="21" t="s">
        <v>57</v>
      </c>
      <c r="C126" s="21" t="s">
        <v>8</v>
      </c>
      <c r="D126" s="21" t="s">
        <v>70</v>
      </c>
      <c r="E126" s="21" t="s">
        <v>253</v>
      </c>
      <c r="F126" s="21" t="s">
        <v>90</v>
      </c>
      <c r="G126" s="15"/>
      <c r="H126" s="98">
        <v>0.1</v>
      </c>
      <c r="I126" s="98"/>
      <c r="J126" s="99">
        <f t="shared" si="8"/>
        <v>0</v>
      </c>
    </row>
    <row r="127" spans="1:10" ht="47.25">
      <c r="A127" s="20" t="s">
        <v>254</v>
      </c>
      <c r="B127" s="21" t="s">
        <v>57</v>
      </c>
      <c r="C127" s="21" t="s">
        <v>8</v>
      </c>
      <c r="D127" s="21" t="s">
        <v>70</v>
      </c>
      <c r="E127" s="21" t="s">
        <v>255</v>
      </c>
      <c r="F127" s="21"/>
      <c r="G127" s="15"/>
      <c r="H127" s="98">
        <f>H128</f>
        <v>40</v>
      </c>
      <c r="I127" s="98">
        <f>I128</f>
        <v>40</v>
      </c>
      <c r="J127" s="99">
        <f t="shared" si="8"/>
        <v>100</v>
      </c>
    </row>
    <row r="128" spans="1:10" ht="15.75">
      <c r="A128" s="20" t="s">
        <v>140</v>
      </c>
      <c r="B128" s="21" t="s">
        <v>57</v>
      </c>
      <c r="C128" s="21" t="s">
        <v>8</v>
      </c>
      <c r="D128" s="21" t="s">
        <v>70</v>
      </c>
      <c r="E128" s="21" t="s">
        <v>255</v>
      </c>
      <c r="F128" s="21" t="s">
        <v>90</v>
      </c>
      <c r="G128" s="15"/>
      <c r="H128" s="98">
        <v>40</v>
      </c>
      <c r="I128" s="98">
        <v>40</v>
      </c>
      <c r="J128" s="99">
        <f t="shared" si="8"/>
        <v>100</v>
      </c>
    </row>
    <row r="129" spans="1:10" ht="47.25">
      <c r="A129" s="54" t="s">
        <v>236</v>
      </c>
      <c r="B129" s="21" t="s">
        <v>57</v>
      </c>
      <c r="C129" s="21" t="s">
        <v>8</v>
      </c>
      <c r="D129" s="21" t="s">
        <v>70</v>
      </c>
      <c r="E129" s="21" t="s">
        <v>237</v>
      </c>
      <c r="F129" s="21"/>
      <c r="G129" s="15"/>
      <c r="H129" s="98">
        <f>H130</f>
        <v>226.10000000000002</v>
      </c>
      <c r="I129" s="98">
        <f>I130</f>
        <v>226.10000000000002</v>
      </c>
      <c r="J129" s="99">
        <f t="shared" si="8"/>
        <v>100</v>
      </c>
    </row>
    <row r="130" spans="1:10" ht="31.5">
      <c r="A130" s="54" t="s">
        <v>256</v>
      </c>
      <c r="B130" s="21" t="s">
        <v>57</v>
      </c>
      <c r="C130" s="21" t="s">
        <v>8</v>
      </c>
      <c r="D130" s="21" t="s">
        <v>70</v>
      </c>
      <c r="E130" s="21" t="s">
        <v>257</v>
      </c>
      <c r="F130" s="21"/>
      <c r="G130" s="15"/>
      <c r="H130" s="98">
        <f>H131+H132</f>
        <v>226.10000000000002</v>
      </c>
      <c r="I130" s="98">
        <f>I131+I132</f>
        <v>226.10000000000002</v>
      </c>
      <c r="J130" s="99">
        <f t="shared" si="8"/>
        <v>100</v>
      </c>
    </row>
    <row r="131" spans="1:10" ht="31.5">
      <c r="A131" s="20" t="s">
        <v>92</v>
      </c>
      <c r="B131" s="21" t="s">
        <v>57</v>
      </c>
      <c r="C131" s="21" t="s">
        <v>8</v>
      </c>
      <c r="D131" s="21" t="s">
        <v>70</v>
      </c>
      <c r="E131" s="21" t="s">
        <v>257</v>
      </c>
      <c r="F131" s="21" t="s">
        <v>89</v>
      </c>
      <c r="G131" s="15"/>
      <c r="H131" s="98">
        <v>101.0682</v>
      </c>
      <c r="I131" s="98">
        <v>101.0682</v>
      </c>
      <c r="J131" s="99">
        <f t="shared" si="8"/>
        <v>100</v>
      </c>
    </row>
    <row r="132" spans="1:10" ht="15.75">
      <c r="A132" s="20" t="s">
        <v>140</v>
      </c>
      <c r="B132" s="21" t="s">
        <v>57</v>
      </c>
      <c r="C132" s="21" t="s">
        <v>8</v>
      </c>
      <c r="D132" s="21" t="s">
        <v>70</v>
      </c>
      <c r="E132" s="21" t="s">
        <v>257</v>
      </c>
      <c r="F132" s="21" t="s">
        <v>90</v>
      </c>
      <c r="G132" s="15"/>
      <c r="H132" s="98">
        <v>125.0318</v>
      </c>
      <c r="I132" s="98">
        <v>125.0318</v>
      </c>
      <c r="J132" s="99">
        <f t="shared" si="8"/>
        <v>100</v>
      </c>
    </row>
    <row r="133" spans="1:10" ht="78.75">
      <c r="A133" s="20" t="s">
        <v>258</v>
      </c>
      <c r="B133" s="21" t="s">
        <v>57</v>
      </c>
      <c r="C133" s="21" t="s">
        <v>8</v>
      </c>
      <c r="D133" s="21" t="s">
        <v>70</v>
      </c>
      <c r="E133" s="21" t="s">
        <v>259</v>
      </c>
      <c r="F133" s="21"/>
      <c r="G133" s="15"/>
      <c r="H133" s="98">
        <f aca="true" t="shared" si="9" ref="H133:I135">H134</f>
        <v>258.64927</v>
      </c>
      <c r="I133" s="98">
        <f t="shared" si="9"/>
        <v>258.64927</v>
      </c>
      <c r="J133" s="99">
        <f t="shared" si="8"/>
        <v>100</v>
      </c>
    </row>
    <row r="134" spans="1:10" ht="47.25">
      <c r="A134" s="20" t="s">
        <v>260</v>
      </c>
      <c r="B134" s="21" t="s">
        <v>57</v>
      </c>
      <c r="C134" s="21" t="s">
        <v>8</v>
      </c>
      <c r="D134" s="21" t="s">
        <v>70</v>
      </c>
      <c r="E134" s="21" t="s">
        <v>261</v>
      </c>
      <c r="F134" s="21"/>
      <c r="G134" s="15"/>
      <c r="H134" s="98">
        <f t="shared" si="9"/>
        <v>258.64927</v>
      </c>
      <c r="I134" s="98">
        <f t="shared" si="9"/>
        <v>258.64927</v>
      </c>
      <c r="J134" s="99">
        <f t="shared" si="8"/>
        <v>100</v>
      </c>
    </row>
    <row r="135" spans="1:10" ht="31.5">
      <c r="A135" s="20" t="s">
        <v>262</v>
      </c>
      <c r="B135" s="21" t="s">
        <v>57</v>
      </c>
      <c r="C135" s="21" t="s">
        <v>8</v>
      </c>
      <c r="D135" s="21" t="s">
        <v>70</v>
      </c>
      <c r="E135" s="21" t="s">
        <v>263</v>
      </c>
      <c r="F135" s="21"/>
      <c r="G135" s="15"/>
      <c r="H135" s="98">
        <f t="shared" si="9"/>
        <v>258.64927</v>
      </c>
      <c r="I135" s="98">
        <f t="shared" si="9"/>
        <v>258.64927</v>
      </c>
      <c r="J135" s="99">
        <f t="shared" si="8"/>
        <v>100</v>
      </c>
    </row>
    <row r="136" spans="1:10" ht="31.5">
      <c r="A136" s="20" t="s">
        <v>124</v>
      </c>
      <c r="B136" s="21" t="s">
        <v>57</v>
      </c>
      <c r="C136" s="21" t="s">
        <v>8</v>
      </c>
      <c r="D136" s="21" t="s">
        <v>70</v>
      </c>
      <c r="E136" s="21" t="s">
        <v>263</v>
      </c>
      <c r="F136" s="21" t="s">
        <v>123</v>
      </c>
      <c r="G136" s="15"/>
      <c r="H136" s="98">
        <v>258.64927</v>
      </c>
      <c r="I136" s="98">
        <v>258.64927</v>
      </c>
      <c r="J136" s="99">
        <f t="shared" si="8"/>
        <v>100</v>
      </c>
    </row>
    <row r="137" spans="1:10" ht="47.25">
      <c r="A137" s="20" t="s">
        <v>142</v>
      </c>
      <c r="B137" s="21" t="s">
        <v>57</v>
      </c>
      <c r="C137" s="21" t="s">
        <v>8</v>
      </c>
      <c r="D137" s="21" t="s">
        <v>70</v>
      </c>
      <c r="E137" s="21" t="s">
        <v>209</v>
      </c>
      <c r="F137" s="21"/>
      <c r="G137" s="15"/>
      <c r="H137" s="98">
        <f>H138+H142</f>
        <v>8311.38</v>
      </c>
      <c r="I137" s="98">
        <f>I138+I142</f>
        <v>7959.94993</v>
      </c>
      <c r="J137" s="99">
        <f t="shared" si="8"/>
        <v>95.77170012681408</v>
      </c>
    </row>
    <row r="138" spans="1:10" ht="31.5">
      <c r="A138" s="20" t="s">
        <v>264</v>
      </c>
      <c r="B138" s="21" t="s">
        <v>57</v>
      </c>
      <c r="C138" s="21" t="s">
        <v>8</v>
      </c>
      <c r="D138" s="21" t="s">
        <v>70</v>
      </c>
      <c r="E138" s="21" t="s">
        <v>265</v>
      </c>
      <c r="F138" s="21"/>
      <c r="G138" s="15"/>
      <c r="H138" s="98">
        <f>H139</f>
        <v>1210.752</v>
      </c>
      <c r="I138" s="98">
        <f>I139</f>
        <v>1059.21703</v>
      </c>
      <c r="J138" s="99">
        <f t="shared" si="8"/>
        <v>87.48422715799768</v>
      </c>
    </row>
    <row r="139" spans="1:10" ht="15.75">
      <c r="A139" s="20" t="s">
        <v>88</v>
      </c>
      <c r="B139" s="21" t="s">
        <v>57</v>
      </c>
      <c r="C139" s="21" t="s">
        <v>8</v>
      </c>
      <c r="D139" s="21" t="s">
        <v>70</v>
      </c>
      <c r="E139" s="21" t="s">
        <v>265</v>
      </c>
      <c r="F139" s="21" t="s">
        <v>87</v>
      </c>
      <c r="G139" s="15"/>
      <c r="H139" s="98">
        <f>H140+H141</f>
        <v>1210.752</v>
      </c>
      <c r="I139" s="98">
        <f>I140+I141</f>
        <v>1059.21703</v>
      </c>
      <c r="J139" s="99">
        <f t="shared" si="8"/>
        <v>87.48422715799768</v>
      </c>
    </row>
    <row r="140" spans="1:10" ht="31.5">
      <c r="A140" s="20" t="s">
        <v>92</v>
      </c>
      <c r="B140" s="21" t="s">
        <v>57</v>
      </c>
      <c r="C140" s="21" t="s">
        <v>8</v>
      </c>
      <c r="D140" s="21" t="s">
        <v>70</v>
      </c>
      <c r="E140" s="21" t="s">
        <v>265</v>
      </c>
      <c r="F140" s="21" t="s">
        <v>89</v>
      </c>
      <c r="G140" s="15"/>
      <c r="H140" s="98">
        <f>273.538+50</f>
        <v>323.538</v>
      </c>
      <c r="I140" s="98">
        <v>321.78703</v>
      </c>
      <c r="J140" s="99">
        <f t="shared" si="8"/>
        <v>99.45880545716423</v>
      </c>
    </row>
    <row r="141" spans="1:10" ht="15.75">
      <c r="A141" s="20" t="s">
        <v>140</v>
      </c>
      <c r="B141" s="21" t="s">
        <v>57</v>
      </c>
      <c r="C141" s="21" t="s">
        <v>8</v>
      </c>
      <c r="D141" s="21" t="s">
        <v>70</v>
      </c>
      <c r="E141" s="21" t="s">
        <v>265</v>
      </c>
      <c r="F141" s="21" t="s">
        <v>90</v>
      </c>
      <c r="G141" s="15"/>
      <c r="H141" s="98">
        <f>937.214-50</f>
        <v>887.214</v>
      </c>
      <c r="I141" s="98">
        <v>737.43</v>
      </c>
      <c r="J141" s="99">
        <f t="shared" si="8"/>
        <v>83.1174891288911</v>
      </c>
    </row>
    <row r="142" spans="1:10" ht="47.25">
      <c r="A142" s="20" t="s">
        <v>164</v>
      </c>
      <c r="B142" s="21" t="s">
        <v>57</v>
      </c>
      <c r="C142" s="21" t="s">
        <v>8</v>
      </c>
      <c r="D142" s="21" t="s">
        <v>70</v>
      </c>
      <c r="E142" s="21" t="s">
        <v>266</v>
      </c>
      <c r="F142" s="21"/>
      <c r="G142" s="15" t="e">
        <f>#REF!+#REF!+#REF!</f>
        <v>#REF!</v>
      </c>
      <c r="H142" s="99">
        <f>H143+H147+H151+H152+H150+H149+H153</f>
        <v>7100.628</v>
      </c>
      <c r="I142" s="99">
        <f>I143+I147+I151+I152+I150+I149+I153</f>
        <v>6900.7329</v>
      </c>
      <c r="J142" s="99">
        <f t="shared" si="8"/>
        <v>97.18482506054394</v>
      </c>
    </row>
    <row r="143" spans="1:10" ht="15.75">
      <c r="A143" s="20" t="s">
        <v>82</v>
      </c>
      <c r="B143" s="21" t="s">
        <v>57</v>
      </c>
      <c r="C143" s="21" t="s">
        <v>8</v>
      </c>
      <c r="D143" s="21" t="s">
        <v>70</v>
      </c>
      <c r="E143" s="21" t="s">
        <v>266</v>
      </c>
      <c r="F143" s="21" t="s">
        <v>81</v>
      </c>
      <c r="G143" s="15"/>
      <c r="H143" s="98">
        <f>H144+H145+H146</f>
        <v>14.962</v>
      </c>
      <c r="I143" s="98">
        <f>I144+I145+I146</f>
        <v>14.96194</v>
      </c>
      <c r="J143" s="99">
        <f t="shared" si="8"/>
        <v>99.99959898409304</v>
      </c>
    </row>
    <row r="144" spans="1:10" ht="15.75">
      <c r="A144" s="20" t="s">
        <v>191</v>
      </c>
      <c r="B144" s="21" t="s">
        <v>57</v>
      </c>
      <c r="C144" s="21" t="s">
        <v>8</v>
      </c>
      <c r="D144" s="21" t="s">
        <v>70</v>
      </c>
      <c r="E144" s="21" t="s">
        <v>266</v>
      </c>
      <c r="F144" s="21" t="s">
        <v>83</v>
      </c>
      <c r="G144" s="15"/>
      <c r="H144" s="98">
        <f>60-48.311</f>
        <v>11.689</v>
      </c>
      <c r="I144" s="98">
        <f>60-48.311</f>
        <v>11.689</v>
      </c>
      <c r="J144" s="99">
        <f t="shared" si="8"/>
        <v>100</v>
      </c>
    </row>
    <row r="145" spans="1:10" ht="47.25" hidden="1">
      <c r="A145" s="20" t="s">
        <v>128</v>
      </c>
      <c r="B145" s="21" t="s">
        <v>57</v>
      </c>
      <c r="C145" s="21" t="s">
        <v>8</v>
      </c>
      <c r="D145" s="21" t="s">
        <v>70</v>
      </c>
      <c r="E145" s="21" t="s">
        <v>266</v>
      </c>
      <c r="F145" s="21" t="s">
        <v>127</v>
      </c>
      <c r="G145" s="15"/>
      <c r="H145" s="98"/>
      <c r="I145" s="98"/>
      <c r="J145" s="99" t="e">
        <f t="shared" si="8"/>
        <v>#DIV/0!</v>
      </c>
    </row>
    <row r="146" spans="1:10" ht="31.5">
      <c r="A146" s="20" t="s">
        <v>192</v>
      </c>
      <c r="B146" s="21" t="s">
        <v>57</v>
      </c>
      <c r="C146" s="21" t="s">
        <v>8</v>
      </c>
      <c r="D146" s="21" t="s">
        <v>70</v>
      </c>
      <c r="E146" s="21" t="s">
        <v>266</v>
      </c>
      <c r="F146" s="21" t="s">
        <v>193</v>
      </c>
      <c r="G146" s="15"/>
      <c r="H146" s="98">
        <f>16-12.727</f>
        <v>3.2729999999999997</v>
      </c>
      <c r="I146" s="98">
        <v>3.27294</v>
      </c>
      <c r="J146" s="99">
        <f t="shared" si="8"/>
        <v>99.99816681943173</v>
      </c>
    </row>
    <row r="147" spans="1:10" ht="15.75">
      <c r="A147" s="20" t="s">
        <v>235</v>
      </c>
      <c r="B147" s="21" t="s">
        <v>57</v>
      </c>
      <c r="C147" s="21" t="s">
        <v>8</v>
      </c>
      <c r="D147" s="21" t="s">
        <v>70</v>
      </c>
      <c r="E147" s="21" t="s">
        <v>266</v>
      </c>
      <c r="F147" s="21" t="s">
        <v>87</v>
      </c>
      <c r="G147" s="15"/>
      <c r="H147" s="98">
        <f>H148</f>
        <v>1323.6085</v>
      </c>
      <c r="I147" s="98">
        <f>I148</f>
        <v>1156.94146</v>
      </c>
      <c r="J147" s="99">
        <f t="shared" si="8"/>
        <v>87.40813163408968</v>
      </c>
    </row>
    <row r="148" spans="1:10" ht="15.75">
      <c r="A148" s="20" t="s">
        <v>140</v>
      </c>
      <c r="B148" s="21" t="s">
        <v>57</v>
      </c>
      <c r="C148" s="21" t="s">
        <v>8</v>
      </c>
      <c r="D148" s="21" t="s">
        <v>70</v>
      </c>
      <c r="E148" s="21" t="s">
        <v>266</v>
      </c>
      <c r="F148" s="21" t="s">
        <v>90</v>
      </c>
      <c r="G148" s="15"/>
      <c r="H148" s="98">
        <v>1323.6085</v>
      </c>
      <c r="I148" s="98">
        <v>1156.94146</v>
      </c>
      <c r="J148" s="99">
        <f t="shared" si="8"/>
        <v>87.40813163408968</v>
      </c>
    </row>
    <row r="149" spans="1:10" ht="15.75">
      <c r="A149" s="20" t="s">
        <v>157</v>
      </c>
      <c r="B149" s="21" t="s">
        <v>57</v>
      </c>
      <c r="C149" s="21" t="s">
        <v>8</v>
      </c>
      <c r="D149" s="21" t="s">
        <v>70</v>
      </c>
      <c r="E149" s="21" t="s">
        <v>266</v>
      </c>
      <c r="F149" s="21" t="s">
        <v>158</v>
      </c>
      <c r="G149" s="15"/>
      <c r="H149" s="98">
        <v>20</v>
      </c>
      <c r="I149" s="98">
        <v>20</v>
      </c>
      <c r="J149" s="99">
        <f t="shared" si="8"/>
        <v>100</v>
      </c>
    </row>
    <row r="150" spans="1:10" ht="31.5">
      <c r="A150" s="20" t="s">
        <v>267</v>
      </c>
      <c r="B150" s="21" t="s">
        <v>57</v>
      </c>
      <c r="C150" s="21" t="s">
        <v>8</v>
      </c>
      <c r="D150" s="21" t="s">
        <v>70</v>
      </c>
      <c r="E150" s="21" t="s">
        <v>266</v>
      </c>
      <c r="F150" s="21" t="s">
        <v>268</v>
      </c>
      <c r="G150" s="15"/>
      <c r="H150" s="98">
        <v>2779.166</v>
      </c>
      <c r="I150" s="98">
        <v>2779.166</v>
      </c>
      <c r="J150" s="99">
        <f t="shared" si="8"/>
        <v>100</v>
      </c>
    </row>
    <row r="151" spans="1:10" ht="47.25">
      <c r="A151" s="20" t="s">
        <v>269</v>
      </c>
      <c r="B151" s="21" t="s">
        <v>57</v>
      </c>
      <c r="C151" s="21" t="s">
        <v>8</v>
      </c>
      <c r="D151" s="21" t="s">
        <v>70</v>
      </c>
      <c r="E151" s="21" t="s">
        <v>266</v>
      </c>
      <c r="F151" s="21" t="s">
        <v>110</v>
      </c>
      <c r="G151" s="15"/>
      <c r="H151" s="98">
        <v>2500</v>
      </c>
      <c r="I151" s="98">
        <v>2500</v>
      </c>
      <c r="J151" s="99">
        <f t="shared" si="8"/>
        <v>100</v>
      </c>
    </row>
    <row r="152" spans="1:10" ht="63">
      <c r="A152" s="20" t="s">
        <v>135</v>
      </c>
      <c r="B152" s="21" t="s">
        <v>57</v>
      </c>
      <c r="C152" s="21" t="s">
        <v>8</v>
      </c>
      <c r="D152" s="21" t="s">
        <v>70</v>
      </c>
      <c r="E152" s="21" t="s">
        <v>266</v>
      </c>
      <c r="F152" s="21" t="s">
        <v>134</v>
      </c>
      <c r="G152" s="15"/>
      <c r="H152" s="98">
        <v>100.6</v>
      </c>
      <c r="I152" s="98">
        <v>67.372</v>
      </c>
      <c r="J152" s="99">
        <f t="shared" si="8"/>
        <v>66.97017892644136</v>
      </c>
    </row>
    <row r="153" spans="1:10" ht="15.75">
      <c r="A153" s="20" t="s">
        <v>270</v>
      </c>
      <c r="B153" s="21" t="s">
        <v>57</v>
      </c>
      <c r="C153" s="21" t="s">
        <v>8</v>
      </c>
      <c r="D153" s="21" t="s">
        <v>70</v>
      </c>
      <c r="E153" s="21" t="s">
        <v>266</v>
      </c>
      <c r="F153" s="21" t="s">
        <v>271</v>
      </c>
      <c r="G153" s="15"/>
      <c r="H153" s="98">
        <v>362.2915</v>
      </c>
      <c r="I153" s="98">
        <v>362.2915</v>
      </c>
      <c r="J153" s="99">
        <f t="shared" si="8"/>
        <v>100</v>
      </c>
    </row>
    <row r="154" spans="1:10" ht="15.75">
      <c r="A154" s="20" t="s">
        <v>161</v>
      </c>
      <c r="B154" s="21" t="s">
        <v>57</v>
      </c>
      <c r="C154" s="21" t="s">
        <v>10</v>
      </c>
      <c r="D154" s="21" t="s">
        <v>9</v>
      </c>
      <c r="E154" s="21"/>
      <c r="F154" s="21"/>
      <c r="G154" s="15"/>
      <c r="H154" s="98">
        <f aca="true" t="shared" si="10" ref="H154:I156">H155</f>
        <v>7375.5</v>
      </c>
      <c r="I154" s="98">
        <f t="shared" si="10"/>
        <v>7325.12188</v>
      </c>
      <c r="J154" s="99">
        <f t="shared" si="8"/>
        <v>99.31695315571825</v>
      </c>
    </row>
    <row r="155" spans="1:10" ht="31.5">
      <c r="A155" s="20" t="s">
        <v>160</v>
      </c>
      <c r="B155" s="21" t="s">
        <v>57</v>
      </c>
      <c r="C155" s="21" t="s">
        <v>10</v>
      </c>
      <c r="D155" s="21" t="s">
        <v>19</v>
      </c>
      <c r="E155" s="21"/>
      <c r="F155" s="21"/>
      <c r="G155" s="15"/>
      <c r="H155" s="98">
        <f t="shared" si="10"/>
        <v>7375.5</v>
      </c>
      <c r="I155" s="98">
        <f t="shared" si="10"/>
        <v>7325.12188</v>
      </c>
      <c r="J155" s="99">
        <f t="shared" si="8"/>
        <v>99.31695315571825</v>
      </c>
    </row>
    <row r="156" spans="1:10" ht="47.25">
      <c r="A156" s="20" t="s">
        <v>142</v>
      </c>
      <c r="B156" s="21" t="s">
        <v>57</v>
      </c>
      <c r="C156" s="21" t="s">
        <v>10</v>
      </c>
      <c r="D156" s="21" t="s">
        <v>19</v>
      </c>
      <c r="E156" s="21" t="s">
        <v>209</v>
      </c>
      <c r="F156" s="21"/>
      <c r="G156" s="15"/>
      <c r="H156" s="98">
        <f t="shared" si="10"/>
        <v>7375.5</v>
      </c>
      <c r="I156" s="98">
        <f t="shared" si="10"/>
        <v>7325.12188</v>
      </c>
      <c r="J156" s="99">
        <f t="shared" si="8"/>
        <v>99.31695315571825</v>
      </c>
    </row>
    <row r="157" spans="1:10" ht="47.25">
      <c r="A157" s="20" t="s">
        <v>272</v>
      </c>
      <c r="B157" s="21" t="s">
        <v>57</v>
      </c>
      <c r="C157" s="21" t="s">
        <v>10</v>
      </c>
      <c r="D157" s="21" t="s">
        <v>19</v>
      </c>
      <c r="E157" s="21" t="s">
        <v>273</v>
      </c>
      <c r="F157" s="21"/>
      <c r="G157" s="15"/>
      <c r="H157" s="98">
        <f>H158+H163</f>
        <v>7375.5</v>
      </c>
      <c r="I157" s="98">
        <f>I158+I163</f>
        <v>7325.12188</v>
      </c>
      <c r="J157" s="99">
        <f t="shared" si="8"/>
        <v>99.31695315571825</v>
      </c>
    </row>
    <row r="158" spans="1:10" ht="47.25">
      <c r="A158" s="20" t="s">
        <v>274</v>
      </c>
      <c r="B158" s="21" t="s">
        <v>57</v>
      </c>
      <c r="C158" s="21" t="s">
        <v>10</v>
      </c>
      <c r="D158" s="21" t="s">
        <v>19</v>
      </c>
      <c r="E158" s="21" t="s">
        <v>275</v>
      </c>
      <c r="F158" s="21"/>
      <c r="G158" s="15"/>
      <c r="H158" s="98">
        <f>H159</f>
        <v>5820</v>
      </c>
      <c r="I158" s="98">
        <f>I159</f>
        <v>5785.17992</v>
      </c>
      <c r="J158" s="99">
        <f t="shared" si="8"/>
        <v>99.40171683848796</v>
      </c>
    </row>
    <row r="159" spans="1:10" ht="15.75">
      <c r="A159" s="20" t="s">
        <v>133</v>
      </c>
      <c r="B159" s="21" t="s">
        <v>57</v>
      </c>
      <c r="C159" s="21" t="s">
        <v>10</v>
      </c>
      <c r="D159" s="21" t="s">
        <v>19</v>
      </c>
      <c r="E159" s="21" t="s">
        <v>275</v>
      </c>
      <c r="F159" s="21" t="s">
        <v>131</v>
      </c>
      <c r="G159" s="15"/>
      <c r="H159" s="98">
        <f>H160+H161+H162</f>
        <v>5820</v>
      </c>
      <c r="I159" s="98">
        <f>I160+I161+I162</f>
        <v>5785.17992</v>
      </c>
      <c r="J159" s="99">
        <f t="shared" si="8"/>
        <v>99.40171683848796</v>
      </c>
    </row>
    <row r="160" spans="1:10" ht="15.75">
      <c r="A160" s="20" t="s">
        <v>276</v>
      </c>
      <c r="B160" s="21" t="s">
        <v>57</v>
      </c>
      <c r="C160" s="21" t="s">
        <v>10</v>
      </c>
      <c r="D160" s="21" t="s">
        <v>19</v>
      </c>
      <c r="E160" s="21" t="s">
        <v>275</v>
      </c>
      <c r="F160" s="21" t="s">
        <v>132</v>
      </c>
      <c r="G160" s="15"/>
      <c r="H160" s="98">
        <v>4470</v>
      </c>
      <c r="I160" s="98">
        <v>4469.99997</v>
      </c>
      <c r="J160" s="99">
        <f t="shared" si="8"/>
        <v>99.99999932885906</v>
      </c>
    </row>
    <row r="161" spans="1:10" ht="47.25" hidden="1">
      <c r="A161" s="20" t="s">
        <v>277</v>
      </c>
      <c r="B161" s="21" t="s">
        <v>57</v>
      </c>
      <c r="C161" s="21" t="s">
        <v>10</v>
      </c>
      <c r="D161" s="21" t="s">
        <v>19</v>
      </c>
      <c r="E161" s="21" t="s">
        <v>275</v>
      </c>
      <c r="F161" s="21" t="s">
        <v>159</v>
      </c>
      <c r="G161" s="15"/>
      <c r="H161" s="98"/>
      <c r="I161" s="98"/>
      <c r="J161" s="99" t="e">
        <f t="shared" si="8"/>
        <v>#DIV/0!</v>
      </c>
    </row>
    <row r="162" spans="1:10" ht="31.5">
      <c r="A162" s="20" t="s">
        <v>278</v>
      </c>
      <c r="B162" s="21" t="s">
        <v>57</v>
      </c>
      <c r="C162" s="21" t="s">
        <v>10</v>
      </c>
      <c r="D162" s="21" t="s">
        <v>19</v>
      </c>
      <c r="E162" s="21" t="s">
        <v>275</v>
      </c>
      <c r="F162" s="21" t="s">
        <v>279</v>
      </c>
      <c r="G162" s="15"/>
      <c r="H162" s="98">
        <v>1350</v>
      </c>
      <c r="I162" s="98">
        <v>1315.17995</v>
      </c>
      <c r="J162" s="99">
        <f t="shared" si="8"/>
        <v>97.42073703703703</v>
      </c>
    </row>
    <row r="163" spans="1:10" ht="47.25">
      <c r="A163" s="20" t="s">
        <v>280</v>
      </c>
      <c r="B163" s="21" t="s">
        <v>57</v>
      </c>
      <c r="C163" s="21" t="s">
        <v>10</v>
      </c>
      <c r="D163" s="21" t="s">
        <v>19</v>
      </c>
      <c r="E163" s="21" t="s">
        <v>281</v>
      </c>
      <c r="F163" s="21"/>
      <c r="G163" s="15"/>
      <c r="H163" s="98">
        <f>H164+H168+H167</f>
        <v>1555.4999999999998</v>
      </c>
      <c r="I163" s="98">
        <f>I164+I168+I167</f>
        <v>1539.9419599999999</v>
      </c>
      <c r="J163" s="99">
        <f t="shared" si="8"/>
        <v>98.99980456444874</v>
      </c>
    </row>
    <row r="164" spans="1:10" ht="15.75">
      <c r="A164" s="20" t="s">
        <v>88</v>
      </c>
      <c r="B164" s="21" t="s">
        <v>57</v>
      </c>
      <c r="C164" s="21" t="s">
        <v>10</v>
      </c>
      <c r="D164" s="21" t="s">
        <v>19</v>
      </c>
      <c r="E164" s="21" t="s">
        <v>281</v>
      </c>
      <c r="F164" s="21" t="s">
        <v>87</v>
      </c>
      <c r="G164" s="15"/>
      <c r="H164" s="98">
        <f>H165+H166</f>
        <v>1543.629</v>
      </c>
      <c r="I164" s="98">
        <f>I165+I166</f>
        <v>1538.37096</v>
      </c>
      <c r="J164" s="99">
        <f t="shared" si="8"/>
        <v>99.65937151997015</v>
      </c>
    </row>
    <row r="165" spans="1:10" ht="31.5">
      <c r="A165" s="20" t="s">
        <v>92</v>
      </c>
      <c r="B165" s="21" t="s">
        <v>57</v>
      </c>
      <c r="C165" s="21" t="s">
        <v>10</v>
      </c>
      <c r="D165" s="21" t="s">
        <v>19</v>
      </c>
      <c r="E165" s="21" t="s">
        <v>281</v>
      </c>
      <c r="F165" s="21" t="s">
        <v>89</v>
      </c>
      <c r="G165" s="15"/>
      <c r="H165" s="98">
        <f>147.5+87.463</f>
        <v>234.963</v>
      </c>
      <c r="I165" s="98">
        <v>231.4339</v>
      </c>
      <c r="J165" s="99">
        <f t="shared" si="8"/>
        <v>98.49801883700839</v>
      </c>
    </row>
    <row r="166" spans="1:10" ht="15.75">
      <c r="A166" s="20" t="s">
        <v>140</v>
      </c>
      <c r="B166" s="21" t="s">
        <v>57</v>
      </c>
      <c r="C166" s="21" t="s">
        <v>10</v>
      </c>
      <c r="D166" s="21" t="s">
        <v>19</v>
      </c>
      <c r="E166" s="21" t="s">
        <v>281</v>
      </c>
      <c r="F166" s="21" t="s">
        <v>90</v>
      </c>
      <c r="G166" s="15"/>
      <c r="H166" s="98">
        <f>1374.7-66.034</f>
        <v>1308.666</v>
      </c>
      <c r="I166" s="98">
        <v>1306.93706</v>
      </c>
      <c r="J166" s="99">
        <f t="shared" si="8"/>
        <v>99.8678853122187</v>
      </c>
    </row>
    <row r="167" spans="1:10" ht="63">
      <c r="A167" s="20" t="s">
        <v>135</v>
      </c>
      <c r="B167" s="21" t="s">
        <v>57</v>
      </c>
      <c r="C167" s="21" t="s">
        <v>10</v>
      </c>
      <c r="D167" s="21" t="s">
        <v>19</v>
      </c>
      <c r="E167" s="21" t="s">
        <v>281</v>
      </c>
      <c r="F167" s="21" t="s">
        <v>134</v>
      </c>
      <c r="G167" s="15"/>
      <c r="H167" s="98">
        <v>10.3</v>
      </c>
      <c r="I167" s="98"/>
      <c r="J167" s="99">
        <f t="shared" si="8"/>
        <v>0</v>
      </c>
    </row>
    <row r="168" spans="1:10" ht="15.75">
      <c r="A168" s="20" t="s">
        <v>93</v>
      </c>
      <c r="B168" s="21" t="s">
        <v>57</v>
      </c>
      <c r="C168" s="21" t="s">
        <v>10</v>
      </c>
      <c r="D168" s="21" t="s">
        <v>19</v>
      </c>
      <c r="E168" s="21" t="s">
        <v>281</v>
      </c>
      <c r="F168" s="21" t="s">
        <v>94</v>
      </c>
      <c r="G168" s="15"/>
      <c r="H168" s="98">
        <f>H169+H170</f>
        <v>1.571</v>
      </c>
      <c r="I168" s="98">
        <f>I169+I170</f>
        <v>1.571</v>
      </c>
      <c r="J168" s="99">
        <f t="shared" si="8"/>
        <v>100</v>
      </c>
    </row>
    <row r="169" spans="1:10" ht="15.75">
      <c r="A169" s="20" t="s">
        <v>97</v>
      </c>
      <c r="B169" s="21" t="s">
        <v>57</v>
      </c>
      <c r="C169" s="21" t="s">
        <v>10</v>
      </c>
      <c r="D169" s="21" t="s">
        <v>19</v>
      </c>
      <c r="E169" s="21" t="s">
        <v>281</v>
      </c>
      <c r="F169" s="21" t="s">
        <v>95</v>
      </c>
      <c r="G169" s="15"/>
      <c r="H169" s="98"/>
      <c r="I169" s="98"/>
      <c r="J169" s="99" t="e">
        <f t="shared" si="8"/>
        <v>#DIV/0!</v>
      </c>
    </row>
    <row r="170" spans="1:10" ht="15.75">
      <c r="A170" s="20" t="s">
        <v>233</v>
      </c>
      <c r="B170" s="21" t="s">
        <v>57</v>
      </c>
      <c r="C170" s="21" t="s">
        <v>10</v>
      </c>
      <c r="D170" s="21" t="s">
        <v>19</v>
      </c>
      <c r="E170" s="21" t="s">
        <v>281</v>
      </c>
      <c r="F170" s="21" t="s">
        <v>96</v>
      </c>
      <c r="G170" s="15"/>
      <c r="H170" s="98">
        <f>3-1.429</f>
        <v>1.571</v>
      </c>
      <c r="I170" s="98">
        <f>3-1.429</f>
        <v>1.571</v>
      </c>
      <c r="J170" s="99">
        <f t="shared" si="8"/>
        <v>100</v>
      </c>
    </row>
    <row r="171" spans="1:10" ht="15.75">
      <c r="A171" s="20" t="s">
        <v>43</v>
      </c>
      <c r="B171" s="21" t="s">
        <v>57</v>
      </c>
      <c r="C171" s="21" t="s">
        <v>12</v>
      </c>
      <c r="D171" s="21" t="s">
        <v>9</v>
      </c>
      <c r="E171" s="21"/>
      <c r="F171" s="21"/>
      <c r="G171" s="15"/>
      <c r="H171" s="98">
        <f>H191+H183+H172</f>
        <v>223134.443</v>
      </c>
      <c r="I171" s="98">
        <f>I191+I183+I172</f>
        <v>222782.60593</v>
      </c>
      <c r="J171" s="99">
        <f t="shared" si="8"/>
        <v>99.84232059144719</v>
      </c>
    </row>
    <row r="172" spans="1:10" ht="15.75">
      <c r="A172" s="20" t="s">
        <v>162</v>
      </c>
      <c r="B172" s="21" t="s">
        <v>57</v>
      </c>
      <c r="C172" s="21" t="s">
        <v>12</v>
      </c>
      <c r="D172" s="21" t="s">
        <v>13</v>
      </c>
      <c r="E172" s="21"/>
      <c r="F172" s="21"/>
      <c r="G172" s="15"/>
      <c r="H172" s="98">
        <f>H179+H173</f>
        <v>192669.9</v>
      </c>
      <c r="I172" s="98">
        <f>I179+I173</f>
        <v>192669.9</v>
      </c>
      <c r="J172" s="99">
        <f t="shared" si="8"/>
        <v>100</v>
      </c>
    </row>
    <row r="173" spans="1:10" ht="47.25">
      <c r="A173" s="80" t="s">
        <v>282</v>
      </c>
      <c r="B173" s="21" t="s">
        <v>57</v>
      </c>
      <c r="C173" s="21" t="s">
        <v>12</v>
      </c>
      <c r="D173" s="21" t="s">
        <v>13</v>
      </c>
      <c r="E173" s="81" t="s">
        <v>283</v>
      </c>
      <c r="F173" s="21"/>
      <c r="G173" s="15"/>
      <c r="H173" s="105">
        <f>H174</f>
        <v>191794.1</v>
      </c>
      <c r="I173" s="105">
        <f>I174</f>
        <v>191794.1</v>
      </c>
      <c r="J173" s="99">
        <f t="shared" si="8"/>
        <v>100</v>
      </c>
    </row>
    <row r="174" spans="1:10" ht="15.75">
      <c r="A174" s="54" t="s">
        <v>284</v>
      </c>
      <c r="B174" s="21" t="s">
        <v>57</v>
      </c>
      <c r="C174" s="21" t="s">
        <v>12</v>
      </c>
      <c r="D174" s="21" t="s">
        <v>13</v>
      </c>
      <c r="E174" s="82" t="s">
        <v>285</v>
      </c>
      <c r="F174" s="21"/>
      <c r="G174" s="15"/>
      <c r="H174" s="105">
        <f>H177+H175</f>
        <v>191794.1</v>
      </c>
      <c r="I174" s="105">
        <f>I177+I175</f>
        <v>191794.1</v>
      </c>
      <c r="J174" s="99">
        <f t="shared" si="8"/>
        <v>100</v>
      </c>
    </row>
    <row r="175" spans="1:10" ht="47.25">
      <c r="A175" s="54" t="s">
        <v>286</v>
      </c>
      <c r="B175" s="21" t="s">
        <v>57</v>
      </c>
      <c r="C175" s="21" t="s">
        <v>12</v>
      </c>
      <c r="D175" s="21" t="s">
        <v>13</v>
      </c>
      <c r="E175" s="82" t="s">
        <v>287</v>
      </c>
      <c r="F175" s="21"/>
      <c r="G175" s="15"/>
      <c r="H175" s="105">
        <f>H176</f>
        <v>183036.4</v>
      </c>
      <c r="I175" s="99">
        <f>I176</f>
        <v>183036.4</v>
      </c>
      <c r="J175" s="99">
        <f t="shared" si="8"/>
        <v>100</v>
      </c>
    </row>
    <row r="176" spans="1:10" ht="31.5">
      <c r="A176" s="20" t="s">
        <v>145</v>
      </c>
      <c r="B176" s="21" t="s">
        <v>57</v>
      </c>
      <c r="C176" s="21" t="s">
        <v>12</v>
      </c>
      <c r="D176" s="21" t="s">
        <v>13</v>
      </c>
      <c r="E176" s="82" t="s">
        <v>287</v>
      </c>
      <c r="F176" s="21" t="s">
        <v>146</v>
      </c>
      <c r="G176" s="15"/>
      <c r="H176" s="105">
        <v>183036.4</v>
      </c>
      <c r="I176" s="98">
        <v>183036.4</v>
      </c>
      <c r="J176" s="99">
        <f t="shared" si="8"/>
        <v>100</v>
      </c>
    </row>
    <row r="177" spans="1:10" ht="63">
      <c r="A177" s="54" t="s">
        <v>288</v>
      </c>
      <c r="B177" s="21" t="s">
        <v>57</v>
      </c>
      <c r="C177" s="21" t="s">
        <v>12</v>
      </c>
      <c r="D177" s="21" t="s">
        <v>13</v>
      </c>
      <c r="E177" s="82" t="s">
        <v>289</v>
      </c>
      <c r="F177" s="21"/>
      <c r="G177" s="15"/>
      <c r="H177" s="105">
        <f>H178</f>
        <v>8757.7</v>
      </c>
      <c r="I177" s="98">
        <f>I178</f>
        <v>8757.7</v>
      </c>
      <c r="J177" s="99">
        <f t="shared" si="8"/>
        <v>100</v>
      </c>
    </row>
    <row r="178" spans="1:10" ht="31.5">
      <c r="A178" s="20" t="s">
        <v>145</v>
      </c>
      <c r="B178" s="21" t="s">
        <v>57</v>
      </c>
      <c r="C178" s="21" t="s">
        <v>12</v>
      </c>
      <c r="D178" s="21" t="s">
        <v>13</v>
      </c>
      <c r="E178" s="82" t="s">
        <v>289</v>
      </c>
      <c r="F178" s="21" t="s">
        <v>146</v>
      </c>
      <c r="G178" s="15"/>
      <c r="H178" s="105">
        <f>4780.9+3976.8</f>
        <v>8757.7</v>
      </c>
      <c r="I178" s="98">
        <v>8757.7</v>
      </c>
      <c r="J178" s="99">
        <f t="shared" si="8"/>
        <v>100</v>
      </c>
    </row>
    <row r="179" spans="1:10" ht="78.75">
      <c r="A179" s="20" t="s">
        <v>258</v>
      </c>
      <c r="B179" s="21" t="s">
        <v>57</v>
      </c>
      <c r="C179" s="21" t="s">
        <v>12</v>
      </c>
      <c r="D179" s="21" t="s">
        <v>13</v>
      </c>
      <c r="E179" s="21" t="s">
        <v>259</v>
      </c>
      <c r="F179" s="21"/>
      <c r="G179" s="15"/>
      <c r="H179" s="98">
        <f aca="true" t="shared" si="11" ref="H179:I181">H180</f>
        <v>875.8</v>
      </c>
      <c r="I179" s="98">
        <f t="shared" si="11"/>
        <v>875.8</v>
      </c>
      <c r="J179" s="99">
        <f t="shared" si="8"/>
        <v>100</v>
      </c>
    </row>
    <row r="180" spans="1:10" ht="47.25">
      <c r="A180" s="20" t="s">
        <v>290</v>
      </c>
      <c r="B180" s="21" t="s">
        <v>57</v>
      </c>
      <c r="C180" s="21" t="s">
        <v>12</v>
      </c>
      <c r="D180" s="21" t="s">
        <v>13</v>
      </c>
      <c r="E180" s="21" t="s">
        <v>261</v>
      </c>
      <c r="F180" s="21"/>
      <c r="G180" s="15"/>
      <c r="H180" s="98">
        <f t="shared" si="11"/>
        <v>875.8</v>
      </c>
      <c r="I180" s="98">
        <f t="shared" si="11"/>
        <v>875.8</v>
      </c>
      <c r="J180" s="99">
        <f t="shared" si="8"/>
        <v>100</v>
      </c>
    </row>
    <row r="181" spans="1:10" ht="31.5">
      <c r="A181" s="20" t="s">
        <v>291</v>
      </c>
      <c r="B181" s="21" t="s">
        <v>57</v>
      </c>
      <c r="C181" s="21" t="s">
        <v>12</v>
      </c>
      <c r="D181" s="21" t="s">
        <v>13</v>
      </c>
      <c r="E181" s="21" t="s">
        <v>292</v>
      </c>
      <c r="F181" s="21"/>
      <c r="G181" s="15"/>
      <c r="H181" s="98">
        <f t="shared" si="11"/>
        <v>875.8</v>
      </c>
      <c r="I181" s="98">
        <f t="shared" si="11"/>
        <v>875.8</v>
      </c>
      <c r="J181" s="99">
        <f t="shared" si="8"/>
        <v>100</v>
      </c>
    </row>
    <row r="182" spans="1:10" ht="31.5">
      <c r="A182" s="20" t="s">
        <v>145</v>
      </c>
      <c r="B182" s="21" t="s">
        <v>57</v>
      </c>
      <c r="C182" s="21" t="s">
        <v>12</v>
      </c>
      <c r="D182" s="21" t="s">
        <v>13</v>
      </c>
      <c r="E182" s="21" t="s">
        <v>292</v>
      </c>
      <c r="F182" s="21" t="s">
        <v>146</v>
      </c>
      <c r="G182" s="15"/>
      <c r="H182" s="98">
        <v>875.8</v>
      </c>
      <c r="I182" s="98">
        <v>875.8</v>
      </c>
      <c r="J182" s="99">
        <f t="shared" si="8"/>
        <v>100</v>
      </c>
    </row>
    <row r="183" spans="1:10" ht="78.75">
      <c r="A183" s="20" t="s">
        <v>258</v>
      </c>
      <c r="B183" s="21" t="s">
        <v>57</v>
      </c>
      <c r="C183" s="21" t="s">
        <v>12</v>
      </c>
      <c r="D183" s="21" t="s">
        <v>19</v>
      </c>
      <c r="E183" s="21" t="s">
        <v>259</v>
      </c>
      <c r="F183" s="21"/>
      <c r="G183" s="15"/>
      <c r="H183" s="98">
        <f aca="true" t="shared" si="12" ref="H183:I185">H184</f>
        <v>18080.943</v>
      </c>
      <c r="I183" s="98">
        <f t="shared" si="12"/>
        <v>17938.321989999997</v>
      </c>
      <c r="J183" s="99">
        <f t="shared" si="8"/>
        <v>99.21120812116932</v>
      </c>
    </row>
    <row r="184" spans="1:10" ht="47.25">
      <c r="A184" s="20" t="s">
        <v>260</v>
      </c>
      <c r="B184" s="21" t="s">
        <v>57</v>
      </c>
      <c r="C184" s="21" t="s">
        <v>12</v>
      </c>
      <c r="D184" s="21" t="s">
        <v>19</v>
      </c>
      <c r="E184" s="21" t="s">
        <v>261</v>
      </c>
      <c r="F184" s="21"/>
      <c r="G184" s="15"/>
      <c r="H184" s="98">
        <f>H185+H187+H189</f>
        <v>18080.943</v>
      </c>
      <c r="I184" s="98">
        <f>I185+I187+I189</f>
        <v>17938.321989999997</v>
      </c>
      <c r="J184" s="99">
        <f aca="true" t="shared" si="13" ref="J184:J247">I184/H184*100</f>
        <v>99.21120812116932</v>
      </c>
    </row>
    <row r="185" spans="1:10" ht="31.5">
      <c r="A185" s="20" t="s">
        <v>293</v>
      </c>
      <c r="B185" s="21" t="s">
        <v>57</v>
      </c>
      <c r="C185" s="21" t="s">
        <v>12</v>
      </c>
      <c r="D185" s="21" t="s">
        <v>19</v>
      </c>
      <c r="E185" s="21" t="s">
        <v>294</v>
      </c>
      <c r="F185" s="21"/>
      <c r="G185" s="15"/>
      <c r="H185" s="98">
        <f t="shared" si="12"/>
        <v>12968.74837</v>
      </c>
      <c r="I185" s="98">
        <f t="shared" si="12"/>
        <v>12958.74837</v>
      </c>
      <c r="J185" s="99">
        <f t="shared" si="13"/>
        <v>99.92289155657355</v>
      </c>
    </row>
    <row r="186" spans="1:10" ht="31.5">
      <c r="A186" s="20" t="s">
        <v>145</v>
      </c>
      <c r="B186" s="21" t="s">
        <v>57</v>
      </c>
      <c r="C186" s="21" t="s">
        <v>12</v>
      </c>
      <c r="D186" s="21" t="s">
        <v>19</v>
      </c>
      <c r="E186" s="21" t="s">
        <v>294</v>
      </c>
      <c r="F186" s="21" t="s">
        <v>146</v>
      </c>
      <c r="G186" s="15"/>
      <c r="H186" s="98">
        <v>12968.74837</v>
      </c>
      <c r="I186" s="98">
        <v>12958.74837</v>
      </c>
      <c r="J186" s="99">
        <f t="shared" si="13"/>
        <v>99.92289155657355</v>
      </c>
    </row>
    <row r="187" spans="1:10" ht="31.5">
      <c r="A187" s="20" t="s">
        <v>295</v>
      </c>
      <c r="B187" s="21" t="s">
        <v>57</v>
      </c>
      <c r="C187" s="21" t="s">
        <v>12</v>
      </c>
      <c r="D187" s="21" t="s">
        <v>19</v>
      </c>
      <c r="E187" s="21" t="s">
        <v>296</v>
      </c>
      <c r="F187" s="21"/>
      <c r="G187" s="15"/>
      <c r="H187" s="98">
        <f>H188</f>
        <v>4610.00563</v>
      </c>
      <c r="I187" s="98">
        <f>I188</f>
        <v>4477.38462</v>
      </c>
      <c r="J187" s="99">
        <f t="shared" si="13"/>
        <v>97.12319201657895</v>
      </c>
    </row>
    <row r="188" spans="1:10" ht="15.75">
      <c r="A188" s="20" t="s">
        <v>140</v>
      </c>
      <c r="B188" s="21" t="s">
        <v>57</v>
      </c>
      <c r="C188" s="21" t="s">
        <v>12</v>
      </c>
      <c r="D188" s="21" t="s">
        <v>19</v>
      </c>
      <c r="E188" s="21" t="s">
        <v>296</v>
      </c>
      <c r="F188" s="21" t="s">
        <v>90</v>
      </c>
      <c r="G188" s="15"/>
      <c r="H188" s="98">
        <v>4610.00563</v>
      </c>
      <c r="I188" s="98">
        <v>4477.38462</v>
      </c>
      <c r="J188" s="99">
        <f t="shared" si="13"/>
        <v>97.12319201657895</v>
      </c>
    </row>
    <row r="189" spans="1:10" ht="31.5">
      <c r="A189" s="20" t="s">
        <v>297</v>
      </c>
      <c r="B189" s="21" t="s">
        <v>57</v>
      </c>
      <c r="C189" s="21" t="s">
        <v>12</v>
      </c>
      <c r="D189" s="21" t="s">
        <v>19</v>
      </c>
      <c r="E189" s="21" t="s">
        <v>298</v>
      </c>
      <c r="F189" s="21"/>
      <c r="G189" s="15"/>
      <c r="H189" s="98">
        <f>H190</f>
        <v>502.189</v>
      </c>
      <c r="I189" s="98">
        <f>I190</f>
        <v>502.189</v>
      </c>
      <c r="J189" s="99">
        <f t="shared" si="13"/>
        <v>100</v>
      </c>
    </row>
    <row r="190" spans="1:10" ht="31.5">
      <c r="A190" s="20" t="s">
        <v>124</v>
      </c>
      <c r="B190" s="21" t="s">
        <v>57</v>
      </c>
      <c r="C190" s="21" t="s">
        <v>12</v>
      </c>
      <c r="D190" s="21" t="s">
        <v>19</v>
      </c>
      <c r="E190" s="21" t="s">
        <v>298</v>
      </c>
      <c r="F190" s="21" t="s">
        <v>123</v>
      </c>
      <c r="G190" s="15"/>
      <c r="H190" s="98">
        <v>502.189</v>
      </c>
      <c r="I190" s="98">
        <v>502.189</v>
      </c>
      <c r="J190" s="99">
        <f t="shared" si="13"/>
        <v>100</v>
      </c>
    </row>
    <row r="191" spans="1:10" ht="15.75">
      <c r="A191" s="20" t="s">
        <v>49</v>
      </c>
      <c r="B191" s="21" t="s">
        <v>57</v>
      </c>
      <c r="C191" s="21" t="s">
        <v>12</v>
      </c>
      <c r="D191" s="21" t="s">
        <v>15</v>
      </c>
      <c r="E191" s="21"/>
      <c r="F191" s="21"/>
      <c r="G191" s="15" t="e">
        <f>#REF!+#REF!+#REF!</f>
        <v>#REF!</v>
      </c>
      <c r="H191" s="98">
        <f>H208+H192+H206</f>
        <v>12383.6</v>
      </c>
      <c r="I191" s="98">
        <f>I208+I192+I206</f>
        <v>12174.38394</v>
      </c>
      <c r="J191" s="99">
        <f t="shared" si="13"/>
        <v>98.31053926160405</v>
      </c>
    </row>
    <row r="192" spans="1:10" ht="47.25">
      <c r="A192" s="20" t="s">
        <v>242</v>
      </c>
      <c r="B192" s="21" t="s">
        <v>57</v>
      </c>
      <c r="C192" s="21" t="s">
        <v>12</v>
      </c>
      <c r="D192" s="21" t="s">
        <v>15</v>
      </c>
      <c r="E192" s="21" t="s">
        <v>243</v>
      </c>
      <c r="F192" s="21"/>
      <c r="G192" s="15"/>
      <c r="H192" s="98">
        <f>H193</f>
        <v>880</v>
      </c>
      <c r="I192" s="98">
        <f>I193</f>
        <v>877.08905</v>
      </c>
      <c r="J192" s="99">
        <f t="shared" si="13"/>
        <v>99.66921022727273</v>
      </c>
    </row>
    <row r="193" spans="1:10" ht="31.5">
      <c r="A193" s="20" t="s">
        <v>299</v>
      </c>
      <c r="B193" s="21" t="s">
        <v>57</v>
      </c>
      <c r="C193" s="21" t="s">
        <v>12</v>
      </c>
      <c r="D193" s="21" t="s">
        <v>15</v>
      </c>
      <c r="E193" s="21" t="s">
        <v>245</v>
      </c>
      <c r="F193" s="21"/>
      <c r="G193" s="15"/>
      <c r="H193" s="98">
        <f>H194</f>
        <v>880</v>
      </c>
      <c r="I193" s="98">
        <f>I194</f>
        <v>877.08905</v>
      </c>
      <c r="J193" s="99">
        <f t="shared" si="13"/>
        <v>99.66921022727273</v>
      </c>
    </row>
    <row r="194" spans="1:10" ht="31.5">
      <c r="A194" s="20" t="s">
        <v>300</v>
      </c>
      <c r="B194" s="21" t="s">
        <v>57</v>
      </c>
      <c r="C194" s="21" t="s">
        <v>12</v>
      </c>
      <c r="D194" s="21" t="s">
        <v>15</v>
      </c>
      <c r="E194" s="21" t="s">
        <v>301</v>
      </c>
      <c r="F194" s="21"/>
      <c r="G194" s="15"/>
      <c r="H194" s="98">
        <f>H195+H197+H199+H201+H204</f>
        <v>880</v>
      </c>
      <c r="I194" s="98">
        <f>I195+I197+I199+I201+I204</f>
        <v>877.08905</v>
      </c>
      <c r="J194" s="99">
        <f t="shared" si="13"/>
        <v>99.66921022727273</v>
      </c>
    </row>
    <row r="195" spans="1:10" ht="15.75">
      <c r="A195" s="20" t="s">
        <v>302</v>
      </c>
      <c r="B195" s="21" t="s">
        <v>57</v>
      </c>
      <c r="C195" s="21" t="s">
        <v>12</v>
      </c>
      <c r="D195" s="21" t="s">
        <v>15</v>
      </c>
      <c r="E195" s="21" t="s">
        <v>303</v>
      </c>
      <c r="F195" s="21"/>
      <c r="G195" s="15"/>
      <c r="H195" s="98">
        <f>H196</f>
        <v>500</v>
      </c>
      <c r="I195" s="98">
        <f>I196</f>
        <v>500</v>
      </c>
      <c r="J195" s="99">
        <f t="shared" si="13"/>
        <v>100</v>
      </c>
    </row>
    <row r="196" spans="1:10" ht="47.25">
      <c r="A196" s="20" t="s">
        <v>269</v>
      </c>
      <c r="B196" s="21" t="s">
        <v>57</v>
      </c>
      <c r="C196" s="21" t="s">
        <v>12</v>
      </c>
      <c r="D196" s="21" t="s">
        <v>15</v>
      </c>
      <c r="E196" s="21" t="s">
        <v>303</v>
      </c>
      <c r="F196" s="21" t="s">
        <v>110</v>
      </c>
      <c r="G196" s="15"/>
      <c r="H196" s="98">
        <v>500</v>
      </c>
      <c r="I196" s="98">
        <v>500</v>
      </c>
      <c r="J196" s="99">
        <f t="shared" si="13"/>
        <v>100</v>
      </c>
    </row>
    <row r="197" spans="1:10" ht="47.25">
      <c r="A197" s="20" t="s">
        <v>304</v>
      </c>
      <c r="B197" s="21" t="s">
        <v>57</v>
      </c>
      <c r="C197" s="21" t="s">
        <v>12</v>
      </c>
      <c r="D197" s="21" t="s">
        <v>15</v>
      </c>
      <c r="E197" s="21" t="s">
        <v>305</v>
      </c>
      <c r="F197" s="21"/>
      <c r="G197" s="15"/>
      <c r="H197" s="98">
        <f>H198</f>
        <v>200</v>
      </c>
      <c r="I197" s="98">
        <f>I198</f>
        <v>200</v>
      </c>
      <c r="J197" s="99">
        <f t="shared" si="13"/>
        <v>100</v>
      </c>
    </row>
    <row r="198" spans="1:10" ht="47.25">
      <c r="A198" s="20" t="s">
        <v>269</v>
      </c>
      <c r="B198" s="21" t="s">
        <v>57</v>
      </c>
      <c r="C198" s="21" t="s">
        <v>12</v>
      </c>
      <c r="D198" s="21" t="s">
        <v>15</v>
      </c>
      <c r="E198" s="21" t="s">
        <v>305</v>
      </c>
      <c r="F198" s="21" t="s">
        <v>110</v>
      </c>
      <c r="G198" s="15"/>
      <c r="H198" s="98">
        <v>200</v>
      </c>
      <c r="I198" s="98">
        <v>200</v>
      </c>
      <c r="J198" s="99">
        <f t="shared" si="13"/>
        <v>100</v>
      </c>
    </row>
    <row r="199" spans="1:10" ht="47.25" hidden="1">
      <c r="A199" s="20" t="s">
        <v>306</v>
      </c>
      <c r="B199" s="21" t="s">
        <v>57</v>
      </c>
      <c r="C199" s="21" t="s">
        <v>12</v>
      </c>
      <c r="D199" s="21" t="s">
        <v>15</v>
      </c>
      <c r="E199" s="21" t="s">
        <v>307</v>
      </c>
      <c r="F199" s="21"/>
      <c r="G199" s="15"/>
      <c r="H199" s="98">
        <f>H200</f>
        <v>0</v>
      </c>
      <c r="I199" s="98">
        <f>I200</f>
        <v>0</v>
      </c>
      <c r="J199" s="99" t="e">
        <f t="shared" si="13"/>
        <v>#DIV/0!</v>
      </c>
    </row>
    <row r="200" spans="1:10" ht="47.25" hidden="1">
      <c r="A200" s="20" t="s">
        <v>269</v>
      </c>
      <c r="B200" s="21" t="s">
        <v>57</v>
      </c>
      <c r="C200" s="21" t="s">
        <v>12</v>
      </c>
      <c r="D200" s="21" t="s">
        <v>15</v>
      </c>
      <c r="E200" s="21" t="s">
        <v>307</v>
      </c>
      <c r="F200" s="21" t="s">
        <v>110</v>
      </c>
      <c r="G200" s="15"/>
      <c r="H200" s="98"/>
      <c r="I200" s="98"/>
      <c r="J200" s="99" t="e">
        <f t="shared" si="13"/>
        <v>#DIV/0!</v>
      </c>
    </row>
    <row r="201" spans="1:10" ht="31.5">
      <c r="A201" s="20" t="s">
        <v>308</v>
      </c>
      <c r="B201" s="21" t="s">
        <v>57</v>
      </c>
      <c r="C201" s="21" t="s">
        <v>12</v>
      </c>
      <c r="D201" s="21" t="s">
        <v>15</v>
      </c>
      <c r="E201" s="21" t="s">
        <v>309</v>
      </c>
      <c r="F201" s="21"/>
      <c r="G201" s="15"/>
      <c r="H201" s="98">
        <f>H202+H203</f>
        <v>180</v>
      </c>
      <c r="I201" s="98">
        <f>I202+I203</f>
        <v>177.08905</v>
      </c>
      <c r="J201" s="99">
        <f t="shared" si="13"/>
        <v>98.38280555555555</v>
      </c>
    </row>
    <row r="202" spans="1:10" ht="31.5">
      <c r="A202" s="20" t="s">
        <v>92</v>
      </c>
      <c r="B202" s="21" t="s">
        <v>57</v>
      </c>
      <c r="C202" s="21" t="s">
        <v>12</v>
      </c>
      <c r="D202" s="21" t="s">
        <v>15</v>
      </c>
      <c r="E202" s="21" t="s">
        <v>309</v>
      </c>
      <c r="F202" s="21" t="s">
        <v>89</v>
      </c>
      <c r="G202" s="15"/>
      <c r="H202" s="98">
        <v>10</v>
      </c>
      <c r="I202" s="98">
        <v>10</v>
      </c>
      <c r="J202" s="99">
        <f t="shared" si="13"/>
        <v>100</v>
      </c>
    </row>
    <row r="203" spans="1:10" ht="15.75">
      <c r="A203" s="20" t="s">
        <v>140</v>
      </c>
      <c r="B203" s="21" t="s">
        <v>57</v>
      </c>
      <c r="C203" s="21" t="s">
        <v>12</v>
      </c>
      <c r="D203" s="21" t="s">
        <v>15</v>
      </c>
      <c r="E203" s="21" t="s">
        <v>309</v>
      </c>
      <c r="F203" s="21" t="s">
        <v>90</v>
      </c>
      <c r="G203" s="15"/>
      <c r="H203" s="98">
        <v>170</v>
      </c>
      <c r="I203" s="98">
        <v>167.08905</v>
      </c>
      <c r="J203" s="99">
        <f t="shared" si="13"/>
        <v>98.28767647058822</v>
      </c>
    </row>
    <row r="204" spans="1:10" ht="31.5" hidden="1">
      <c r="A204" s="20" t="s">
        <v>310</v>
      </c>
      <c r="B204" s="21" t="s">
        <v>57</v>
      </c>
      <c r="C204" s="21" t="s">
        <v>12</v>
      </c>
      <c r="D204" s="21" t="s">
        <v>15</v>
      </c>
      <c r="E204" s="21" t="s">
        <v>311</v>
      </c>
      <c r="F204" s="21"/>
      <c r="G204" s="15"/>
      <c r="H204" s="98">
        <f>H205</f>
        <v>0</v>
      </c>
      <c r="I204" s="98">
        <f>I205</f>
        <v>0</v>
      </c>
      <c r="J204" s="99" t="e">
        <f t="shared" si="13"/>
        <v>#DIV/0!</v>
      </c>
    </row>
    <row r="205" spans="1:10" ht="47.25" hidden="1">
      <c r="A205" s="20" t="s">
        <v>269</v>
      </c>
      <c r="B205" s="21" t="s">
        <v>57</v>
      </c>
      <c r="C205" s="21" t="s">
        <v>12</v>
      </c>
      <c r="D205" s="21" t="s">
        <v>15</v>
      </c>
      <c r="E205" s="21" t="s">
        <v>311</v>
      </c>
      <c r="F205" s="21" t="s">
        <v>110</v>
      </c>
      <c r="G205" s="15"/>
      <c r="H205" s="98"/>
      <c r="I205" s="98"/>
      <c r="J205" s="99" t="e">
        <f t="shared" si="13"/>
        <v>#DIV/0!</v>
      </c>
    </row>
    <row r="206" spans="1:10" ht="47.25">
      <c r="A206" s="20" t="s">
        <v>312</v>
      </c>
      <c r="B206" s="21" t="s">
        <v>57</v>
      </c>
      <c r="C206" s="21" t="s">
        <v>12</v>
      </c>
      <c r="D206" s="21" t="s">
        <v>15</v>
      </c>
      <c r="E206" s="21" t="s">
        <v>313</v>
      </c>
      <c r="F206" s="21"/>
      <c r="G206" s="15"/>
      <c r="H206" s="98">
        <f>H207</f>
        <v>860</v>
      </c>
      <c r="I206" s="98">
        <f>I207</f>
        <v>860</v>
      </c>
      <c r="J206" s="99">
        <f t="shared" si="13"/>
        <v>100</v>
      </c>
    </row>
    <row r="207" spans="1:10" ht="47.25">
      <c r="A207" s="20" t="s">
        <v>269</v>
      </c>
      <c r="B207" s="21" t="s">
        <v>57</v>
      </c>
      <c r="C207" s="21" t="s">
        <v>12</v>
      </c>
      <c r="D207" s="21" t="s">
        <v>15</v>
      </c>
      <c r="E207" s="21" t="s">
        <v>313</v>
      </c>
      <c r="F207" s="21" t="s">
        <v>110</v>
      </c>
      <c r="G207" s="15"/>
      <c r="H207" s="98">
        <v>860</v>
      </c>
      <c r="I207" s="98">
        <v>860</v>
      </c>
      <c r="J207" s="99">
        <f t="shared" si="13"/>
        <v>100</v>
      </c>
    </row>
    <row r="208" spans="1:10" ht="78.75">
      <c r="A208" s="20" t="s">
        <v>258</v>
      </c>
      <c r="B208" s="21" t="s">
        <v>57</v>
      </c>
      <c r="C208" s="21" t="s">
        <v>12</v>
      </c>
      <c r="D208" s="21" t="s">
        <v>15</v>
      </c>
      <c r="E208" s="21" t="s">
        <v>259</v>
      </c>
      <c r="F208" s="21"/>
      <c r="G208" s="15" t="e">
        <f>#REF!+#REF!+#REF!</f>
        <v>#REF!</v>
      </c>
      <c r="H208" s="98">
        <f>H209</f>
        <v>10643.6</v>
      </c>
      <c r="I208" s="98">
        <f>I209</f>
        <v>10437.29489</v>
      </c>
      <c r="J208" s="99">
        <f t="shared" si="13"/>
        <v>98.06169801570897</v>
      </c>
    </row>
    <row r="209" spans="1:10" ht="47.25">
      <c r="A209" s="20" t="s">
        <v>314</v>
      </c>
      <c r="B209" s="21" t="s">
        <v>57</v>
      </c>
      <c r="C209" s="21" t="s">
        <v>12</v>
      </c>
      <c r="D209" s="21" t="s">
        <v>15</v>
      </c>
      <c r="E209" s="21" t="s">
        <v>315</v>
      </c>
      <c r="F209" s="21"/>
      <c r="G209" s="15"/>
      <c r="H209" s="98">
        <f>H210</f>
        <v>10643.6</v>
      </c>
      <c r="I209" s="98">
        <f>I210</f>
        <v>10437.29489</v>
      </c>
      <c r="J209" s="99">
        <f t="shared" si="13"/>
        <v>98.06169801570897</v>
      </c>
    </row>
    <row r="210" spans="1:10" ht="31.5">
      <c r="A210" s="20" t="s">
        <v>316</v>
      </c>
      <c r="B210" s="21" t="s">
        <v>57</v>
      </c>
      <c r="C210" s="21" t="s">
        <v>12</v>
      </c>
      <c r="D210" s="21" t="s">
        <v>15</v>
      </c>
      <c r="E210" s="21" t="s">
        <v>317</v>
      </c>
      <c r="F210" s="21"/>
      <c r="G210" s="15"/>
      <c r="H210" s="98">
        <f>H211+H216</f>
        <v>10643.6</v>
      </c>
      <c r="I210" s="98">
        <f>I211+I216</f>
        <v>10437.29489</v>
      </c>
      <c r="J210" s="99">
        <f t="shared" si="13"/>
        <v>98.06169801570897</v>
      </c>
    </row>
    <row r="211" spans="1:10" ht="47.25">
      <c r="A211" s="20" t="s">
        <v>318</v>
      </c>
      <c r="B211" s="21" t="s">
        <v>57</v>
      </c>
      <c r="C211" s="21" t="s">
        <v>12</v>
      </c>
      <c r="D211" s="21" t="s">
        <v>15</v>
      </c>
      <c r="E211" s="21" t="s">
        <v>319</v>
      </c>
      <c r="F211" s="21"/>
      <c r="G211" s="15"/>
      <c r="H211" s="98">
        <f>H212</f>
        <v>8976.6</v>
      </c>
      <c r="I211" s="98">
        <f>I212</f>
        <v>8902.86825</v>
      </c>
      <c r="J211" s="99">
        <f t="shared" si="13"/>
        <v>99.1786227524898</v>
      </c>
    </row>
    <row r="212" spans="1:10" ht="15.75">
      <c r="A212" s="20" t="s">
        <v>133</v>
      </c>
      <c r="B212" s="21" t="s">
        <v>57</v>
      </c>
      <c r="C212" s="21" t="s">
        <v>12</v>
      </c>
      <c r="D212" s="21" t="s">
        <v>15</v>
      </c>
      <c r="E212" s="21" t="s">
        <v>319</v>
      </c>
      <c r="F212" s="21" t="s">
        <v>131</v>
      </c>
      <c r="G212" s="15"/>
      <c r="H212" s="98">
        <f>H213+H214+H215</f>
        <v>8976.6</v>
      </c>
      <c r="I212" s="98">
        <f>I213+I214+I215</f>
        <v>8902.86825</v>
      </c>
      <c r="J212" s="99">
        <f t="shared" si="13"/>
        <v>99.1786227524898</v>
      </c>
    </row>
    <row r="213" spans="1:10" ht="15.75">
      <c r="A213" s="20" t="s">
        <v>276</v>
      </c>
      <c r="B213" s="21" t="s">
        <v>57</v>
      </c>
      <c r="C213" s="21" t="s">
        <v>12</v>
      </c>
      <c r="D213" s="21" t="s">
        <v>15</v>
      </c>
      <c r="E213" s="21" t="s">
        <v>319</v>
      </c>
      <c r="F213" s="21" t="s">
        <v>132</v>
      </c>
      <c r="G213" s="15"/>
      <c r="H213" s="98">
        <f>7018.93-160.93</f>
        <v>6858</v>
      </c>
      <c r="I213" s="98">
        <v>6857.18333</v>
      </c>
      <c r="J213" s="99">
        <f t="shared" si="13"/>
        <v>99.98809171770195</v>
      </c>
    </row>
    <row r="214" spans="1:10" ht="15.75">
      <c r="A214" s="20" t="s">
        <v>86</v>
      </c>
      <c r="B214" s="21" t="s">
        <v>57</v>
      </c>
      <c r="C214" s="21" t="s">
        <v>12</v>
      </c>
      <c r="D214" s="21" t="s">
        <v>15</v>
      </c>
      <c r="E214" s="21" t="s">
        <v>319</v>
      </c>
      <c r="F214" s="21" t="s">
        <v>136</v>
      </c>
      <c r="G214" s="15"/>
      <c r="H214" s="98"/>
      <c r="I214" s="98"/>
      <c r="J214" s="99" t="e">
        <f t="shared" si="13"/>
        <v>#DIV/0!</v>
      </c>
    </row>
    <row r="215" spans="1:10" ht="31.5">
      <c r="A215" s="20" t="s">
        <v>278</v>
      </c>
      <c r="B215" s="21" t="s">
        <v>57</v>
      </c>
      <c r="C215" s="21" t="s">
        <v>12</v>
      </c>
      <c r="D215" s="21" t="s">
        <v>15</v>
      </c>
      <c r="E215" s="21" t="s">
        <v>319</v>
      </c>
      <c r="F215" s="21" t="s">
        <v>279</v>
      </c>
      <c r="G215" s="15"/>
      <c r="H215" s="98">
        <v>2118.6</v>
      </c>
      <c r="I215" s="98">
        <v>2045.68492</v>
      </c>
      <c r="J215" s="99">
        <f t="shared" si="13"/>
        <v>96.55833663740205</v>
      </c>
    </row>
    <row r="216" spans="1:10" ht="31.5">
      <c r="A216" s="20" t="s">
        <v>320</v>
      </c>
      <c r="B216" s="21" t="s">
        <v>57</v>
      </c>
      <c r="C216" s="21" t="s">
        <v>12</v>
      </c>
      <c r="D216" s="21" t="s">
        <v>15</v>
      </c>
      <c r="E216" s="21" t="s">
        <v>321</v>
      </c>
      <c r="F216" s="21"/>
      <c r="G216" s="15"/>
      <c r="H216" s="98">
        <f>H217+H219+H222</f>
        <v>1667</v>
      </c>
      <c r="I216" s="98">
        <f>I217+I219+I222</f>
        <v>1534.4266400000001</v>
      </c>
      <c r="J216" s="99">
        <f t="shared" si="13"/>
        <v>92.04718896220757</v>
      </c>
    </row>
    <row r="217" spans="1:10" ht="15.75">
      <c r="A217" s="20" t="s">
        <v>133</v>
      </c>
      <c r="B217" s="21" t="s">
        <v>57</v>
      </c>
      <c r="C217" s="21" t="s">
        <v>12</v>
      </c>
      <c r="D217" s="21" t="s">
        <v>15</v>
      </c>
      <c r="E217" s="21" t="s">
        <v>321</v>
      </c>
      <c r="F217" s="21" t="s">
        <v>131</v>
      </c>
      <c r="G217" s="15"/>
      <c r="H217" s="98">
        <f>H218</f>
        <v>22.1</v>
      </c>
      <c r="I217" s="98">
        <f>I218</f>
        <v>21.64</v>
      </c>
      <c r="J217" s="99">
        <f t="shared" si="13"/>
        <v>97.91855203619909</v>
      </c>
    </row>
    <row r="218" spans="1:10" ht="15.75">
      <c r="A218" s="20" t="s">
        <v>86</v>
      </c>
      <c r="B218" s="21" t="s">
        <v>57</v>
      </c>
      <c r="C218" s="21" t="s">
        <v>12</v>
      </c>
      <c r="D218" s="21" t="s">
        <v>15</v>
      </c>
      <c r="E218" s="21" t="s">
        <v>321</v>
      </c>
      <c r="F218" s="21" t="s">
        <v>136</v>
      </c>
      <c r="G218" s="15"/>
      <c r="H218" s="98">
        <v>22.1</v>
      </c>
      <c r="I218" s="98">
        <v>21.64</v>
      </c>
      <c r="J218" s="99">
        <f t="shared" si="13"/>
        <v>97.91855203619909</v>
      </c>
    </row>
    <row r="219" spans="1:10" ht="15.75">
      <c r="A219" s="20" t="s">
        <v>88</v>
      </c>
      <c r="B219" s="21" t="s">
        <v>57</v>
      </c>
      <c r="C219" s="21" t="s">
        <v>12</v>
      </c>
      <c r="D219" s="21" t="s">
        <v>15</v>
      </c>
      <c r="E219" s="21" t="s">
        <v>321</v>
      </c>
      <c r="F219" s="21" t="s">
        <v>87</v>
      </c>
      <c r="G219" s="15"/>
      <c r="H219" s="98">
        <f>H220+H221</f>
        <v>1257.692</v>
      </c>
      <c r="I219" s="98">
        <f>I220+I221</f>
        <v>1168.83394</v>
      </c>
      <c r="J219" s="99">
        <f t="shared" si="13"/>
        <v>92.93483142136549</v>
      </c>
    </row>
    <row r="220" spans="1:10" ht="31.5">
      <c r="A220" s="20" t="s">
        <v>92</v>
      </c>
      <c r="B220" s="21" t="s">
        <v>57</v>
      </c>
      <c r="C220" s="21" t="s">
        <v>12</v>
      </c>
      <c r="D220" s="21" t="s">
        <v>15</v>
      </c>
      <c r="E220" s="21" t="s">
        <v>321</v>
      </c>
      <c r="F220" s="21" t="s">
        <v>89</v>
      </c>
      <c r="G220" s="15"/>
      <c r="H220" s="98">
        <v>617.4</v>
      </c>
      <c r="I220" s="98">
        <v>563.30557</v>
      </c>
      <c r="J220" s="99">
        <f t="shared" si="13"/>
        <v>91.2383495302883</v>
      </c>
    </row>
    <row r="221" spans="1:10" ht="21" customHeight="1">
      <c r="A221" s="20" t="s">
        <v>140</v>
      </c>
      <c r="B221" s="21" t="s">
        <v>57</v>
      </c>
      <c r="C221" s="21" t="s">
        <v>12</v>
      </c>
      <c r="D221" s="21" t="s">
        <v>15</v>
      </c>
      <c r="E221" s="21" t="s">
        <v>321</v>
      </c>
      <c r="F221" s="21" t="s">
        <v>90</v>
      </c>
      <c r="G221" s="15"/>
      <c r="H221" s="98">
        <v>640.292</v>
      </c>
      <c r="I221" s="98">
        <v>605.52837</v>
      </c>
      <c r="J221" s="99">
        <f t="shared" si="13"/>
        <v>94.57065994889831</v>
      </c>
    </row>
    <row r="222" spans="1:10" ht="15.75">
      <c r="A222" s="20" t="s">
        <v>93</v>
      </c>
      <c r="B222" s="21" t="s">
        <v>57</v>
      </c>
      <c r="C222" s="21" t="s">
        <v>12</v>
      </c>
      <c r="D222" s="21" t="s">
        <v>15</v>
      </c>
      <c r="E222" s="21" t="s">
        <v>321</v>
      </c>
      <c r="F222" s="21" t="s">
        <v>94</v>
      </c>
      <c r="G222" s="15"/>
      <c r="H222" s="98">
        <f>H223+H224+H225</f>
        <v>387.208</v>
      </c>
      <c r="I222" s="98">
        <f>I223+I224+I225</f>
        <v>343.9527</v>
      </c>
      <c r="J222" s="99">
        <f t="shared" si="13"/>
        <v>88.82892398917377</v>
      </c>
    </row>
    <row r="223" spans="1:10" ht="21" customHeight="1">
      <c r="A223" s="20" t="s">
        <v>97</v>
      </c>
      <c r="B223" s="21" t="s">
        <v>57</v>
      </c>
      <c r="C223" s="21" t="s">
        <v>12</v>
      </c>
      <c r="D223" s="21" t="s">
        <v>15</v>
      </c>
      <c r="E223" s="21" t="s">
        <v>321</v>
      </c>
      <c r="F223" s="21" t="s">
        <v>95</v>
      </c>
      <c r="G223" s="15"/>
      <c r="H223" s="98">
        <v>50</v>
      </c>
      <c r="I223" s="98">
        <v>28.95</v>
      </c>
      <c r="J223" s="99">
        <f t="shared" si="13"/>
        <v>57.9</v>
      </c>
    </row>
    <row r="224" spans="1:10" ht="15.75">
      <c r="A224" s="20" t="s">
        <v>233</v>
      </c>
      <c r="B224" s="21" t="s">
        <v>57</v>
      </c>
      <c r="C224" s="21" t="s">
        <v>12</v>
      </c>
      <c r="D224" s="21" t="s">
        <v>15</v>
      </c>
      <c r="E224" s="21" t="s">
        <v>321</v>
      </c>
      <c r="F224" s="21" t="s">
        <v>96</v>
      </c>
      <c r="G224" s="15"/>
      <c r="H224" s="98">
        <v>7</v>
      </c>
      <c r="I224" s="98">
        <v>4.795</v>
      </c>
      <c r="J224" s="99">
        <f t="shared" si="13"/>
        <v>68.5</v>
      </c>
    </row>
    <row r="225" spans="1:10" ht="15.75">
      <c r="A225" s="20" t="s">
        <v>270</v>
      </c>
      <c r="B225" s="21" t="s">
        <v>57</v>
      </c>
      <c r="C225" s="21" t="s">
        <v>12</v>
      </c>
      <c r="D225" s="21" t="s">
        <v>15</v>
      </c>
      <c r="E225" s="21" t="s">
        <v>321</v>
      </c>
      <c r="F225" s="21" t="s">
        <v>271</v>
      </c>
      <c r="G225" s="15" t="e">
        <f>#REF!+#REF!+#REF!</f>
        <v>#REF!</v>
      </c>
      <c r="H225" s="98">
        <v>330.208</v>
      </c>
      <c r="I225" s="98">
        <v>310.2077</v>
      </c>
      <c r="J225" s="99">
        <f t="shared" si="13"/>
        <v>93.9431206996802</v>
      </c>
    </row>
    <row r="226" spans="1:10" ht="15.75">
      <c r="A226" s="20" t="s">
        <v>21</v>
      </c>
      <c r="B226" s="21" t="s">
        <v>57</v>
      </c>
      <c r="C226" s="21" t="s">
        <v>22</v>
      </c>
      <c r="D226" s="21" t="s">
        <v>9</v>
      </c>
      <c r="E226" s="21"/>
      <c r="F226" s="21"/>
      <c r="G226" s="15" t="e">
        <f>#REF!+#REF!+#REF!</f>
        <v>#REF!</v>
      </c>
      <c r="H226" s="98">
        <f>H227+H269+H242</f>
        <v>159366.87975</v>
      </c>
      <c r="I226" s="98">
        <f>I227+I269+I242</f>
        <v>103923.57714</v>
      </c>
      <c r="J226" s="99">
        <f t="shared" si="13"/>
        <v>65.21027286411434</v>
      </c>
    </row>
    <row r="227" spans="1:10" ht="15.75">
      <c r="A227" s="20" t="s">
        <v>23</v>
      </c>
      <c r="B227" s="21" t="s">
        <v>57</v>
      </c>
      <c r="C227" s="21" t="s">
        <v>22</v>
      </c>
      <c r="D227" s="21" t="s">
        <v>8</v>
      </c>
      <c r="E227" s="21"/>
      <c r="F227" s="21"/>
      <c r="G227" s="15" t="e">
        <f>#REF!+#REF!+#REF!</f>
        <v>#REF!</v>
      </c>
      <c r="H227" s="105">
        <f>+H233+H228</f>
        <v>70380.15769</v>
      </c>
      <c r="I227" s="105">
        <f>+I233+I228</f>
        <v>41181.96617</v>
      </c>
      <c r="J227" s="99">
        <f t="shared" si="13"/>
        <v>58.51360315416196</v>
      </c>
    </row>
    <row r="228" spans="1:10" ht="31.5">
      <c r="A228" s="78" t="s">
        <v>322</v>
      </c>
      <c r="B228" s="21" t="s">
        <v>57</v>
      </c>
      <c r="C228" s="21" t="s">
        <v>22</v>
      </c>
      <c r="D228" s="21" t="s">
        <v>8</v>
      </c>
      <c r="E228" s="21" t="s">
        <v>323</v>
      </c>
      <c r="F228" s="21"/>
      <c r="G228" s="15"/>
      <c r="H228" s="105">
        <f>H231+H229</f>
        <v>57513.20171</v>
      </c>
      <c r="I228" s="99">
        <f>I231+I229</f>
        <v>29311.15735</v>
      </c>
      <c r="J228" s="99">
        <f t="shared" si="13"/>
        <v>50.96422469713345</v>
      </c>
    </row>
    <row r="229" spans="1:10" ht="47.25">
      <c r="A229" s="78" t="s">
        <v>324</v>
      </c>
      <c r="B229" s="21" t="s">
        <v>57</v>
      </c>
      <c r="C229" s="21" t="s">
        <v>22</v>
      </c>
      <c r="D229" s="21" t="s">
        <v>8</v>
      </c>
      <c r="E229" s="21" t="s">
        <v>325</v>
      </c>
      <c r="F229" s="21"/>
      <c r="G229" s="15"/>
      <c r="H229" s="105">
        <f>H230</f>
        <v>48686.4688</v>
      </c>
      <c r="I229" s="98">
        <f>I230</f>
        <v>25018.09361</v>
      </c>
      <c r="J229" s="99">
        <f t="shared" si="13"/>
        <v>51.38613299882615</v>
      </c>
    </row>
    <row r="230" spans="1:10" ht="31.5">
      <c r="A230" s="20" t="s">
        <v>326</v>
      </c>
      <c r="B230" s="21" t="s">
        <v>57</v>
      </c>
      <c r="C230" s="21" t="s">
        <v>22</v>
      </c>
      <c r="D230" s="21" t="s">
        <v>8</v>
      </c>
      <c r="E230" s="21" t="s">
        <v>325</v>
      </c>
      <c r="F230" s="21" t="s">
        <v>153</v>
      </c>
      <c r="G230" s="15"/>
      <c r="H230" s="105">
        <v>48686.4688</v>
      </c>
      <c r="I230" s="98">
        <v>25018.09361</v>
      </c>
      <c r="J230" s="99">
        <f t="shared" si="13"/>
        <v>51.38613299882615</v>
      </c>
    </row>
    <row r="231" spans="1:10" ht="47.25">
      <c r="A231" s="78" t="s">
        <v>324</v>
      </c>
      <c r="B231" s="21" t="s">
        <v>57</v>
      </c>
      <c r="C231" s="21" t="s">
        <v>22</v>
      </c>
      <c r="D231" s="21" t="s">
        <v>8</v>
      </c>
      <c r="E231" s="21" t="s">
        <v>327</v>
      </c>
      <c r="F231" s="21"/>
      <c r="G231" s="15"/>
      <c r="H231" s="105">
        <f>H232</f>
        <v>8826.73291</v>
      </c>
      <c r="I231" s="98">
        <f>I232</f>
        <v>4293.06374</v>
      </c>
      <c r="J231" s="99">
        <f t="shared" si="13"/>
        <v>48.63706406179225</v>
      </c>
    </row>
    <row r="232" spans="1:10" ht="31.5">
      <c r="A232" s="20" t="s">
        <v>326</v>
      </c>
      <c r="B232" s="21" t="s">
        <v>57</v>
      </c>
      <c r="C232" s="21" t="s">
        <v>22</v>
      </c>
      <c r="D232" s="21" t="s">
        <v>8</v>
      </c>
      <c r="E232" s="21" t="s">
        <v>327</v>
      </c>
      <c r="F232" s="21" t="s">
        <v>153</v>
      </c>
      <c r="G232" s="15"/>
      <c r="H232" s="105">
        <v>8826.73291</v>
      </c>
      <c r="I232" s="98">
        <v>4293.06374</v>
      </c>
      <c r="J232" s="99">
        <f t="shared" si="13"/>
        <v>48.63706406179225</v>
      </c>
    </row>
    <row r="233" spans="1:10" ht="47.25">
      <c r="A233" s="20" t="s">
        <v>328</v>
      </c>
      <c r="B233" s="21" t="s">
        <v>57</v>
      </c>
      <c r="C233" s="21" t="s">
        <v>22</v>
      </c>
      <c r="D233" s="21" t="s">
        <v>8</v>
      </c>
      <c r="E233" s="21" t="s">
        <v>329</v>
      </c>
      <c r="F233" s="21"/>
      <c r="G233" s="15"/>
      <c r="H233" s="98">
        <f>H234+H238</f>
        <v>12866.955979999999</v>
      </c>
      <c r="I233" s="98">
        <f>I234+I238</f>
        <v>11870.808819999998</v>
      </c>
      <c r="J233" s="99">
        <f t="shared" si="13"/>
        <v>92.25809770742683</v>
      </c>
    </row>
    <row r="234" spans="1:10" ht="31.5">
      <c r="A234" s="20" t="s">
        <v>330</v>
      </c>
      <c r="B234" s="21" t="s">
        <v>57</v>
      </c>
      <c r="C234" s="21" t="s">
        <v>22</v>
      </c>
      <c r="D234" s="21" t="s">
        <v>8</v>
      </c>
      <c r="E234" s="21" t="s">
        <v>331</v>
      </c>
      <c r="F234" s="21"/>
      <c r="G234" s="15"/>
      <c r="H234" s="98">
        <f>H235+H240</f>
        <v>8000</v>
      </c>
      <c r="I234" s="98">
        <f>I235+I240</f>
        <v>7003.85284</v>
      </c>
      <c r="J234" s="99">
        <f t="shared" si="13"/>
        <v>87.5481605</v>
      </c>
    </row>
    <row r="235" spans="1:10" ht="31.5">
      <c r="A235" s="20" t="s">
        <v>332</v>
      </c>
      <c r="B235" s="21" t="s">
        <v>57</v>
      </c>
      <c r="C235" s="21" t="s">
        <v>22</v>
      </c>
      <c r="D235" s="21" t="s">
        <v>8</v>
      </c>
      <c r="E235" s="21" t="s">
        <v>333</v>
      </c>
      <c r="F235" s="21"/>
      <c r="G235" s="15"/>
      <c r="H235" s="98">
        <f>H237+H236</f>
        <v>3000</v>
      </c>
      <c r="I235" s="98">
        <f>I237+I236</f>
        <v>3000</v>
      </c>
      <c r="J235" s="99">
        <f t="shared" si="13"/>
        <v>100</v>
      </c>
    </row>
    <row r="236" spans="1:10" ht="31.5">
      <c r="A236" s="20" t="s">
        <v>267</v>
      </c>
      <c r="B236" s="21" t="s">
        <v>57</v>
      </c>
      <c r="C236" s="21" t="s">
        <v>22</v>
      </c>
      <c r="D236" s="21" t="s">
        <v>8</v>
      </c>
      <c r="E236" s="21" t="s">
        <v>333</v>
      </c>
      <c r="F236" s="21" t="s">
        <v>268</v>
      </c>
      <c r="G236" s="15"/>
      <c r="H236" s="98">
        <f>1698.5+1301.5</f>
        <v>3000</v>
      </c>
      <c r="I236" s="98">
        <f>1698.5+1301.5</f>
        <v>3000</v>
      </c>
      <c r="J236" s="99">
        <f t="shared" si="13"/>
        <v>100</v>
      </c>
    </row>
    <row r="237" spans="1:10" ht="47.25" hidden="1">
      <c r="A237" s="20" t="s">
        <v>269</v>
      </c>
      <c r="B237" s="21" t="s">
        <v>57</v>
      </c>
      <c r="C237" s="21" t="s">
        <v>22</v>
      </c>
      <c r="D237" s="21" t="s">
        <v>8</v>
      </c>
      <c r="E237" s="21" t="s">
        <v>333</v>
      </c>
      <c r="F237" s="21" t="s">
        <v>110</v>
      </c>
      <c r="G237" s="15" t="e">
        <f>#REF!+#REF!+#REF!</f>
        <v>#REF!</v>
      </c>
      <c r="H237" s="98"/>
      <c r="I237" s="98"/>
      <c r="J237" s="99" t="e">
        <f t="shared" si="13"/>
        <v>#DIV/0!</v>
      </c>
    </row>
    <row r="238" spans="1:10" ht="31.5">
      <c r="A238" s="78" t="s">
        <v>334</v>
      </c>
      <c r="B238" s="21" t="s">
        <v>57</v>
      </c>
      <c r="C238" s="21" t="s">
        <v>22</v>
      </c>
      <c r="D238" s="21" t="s">
        <v>8</v>
      </c>
      <c r="E238" s="21" t="s">
        <v>335</v>
      </c>
      <c r="F238" s="21"/>
      <c r="G238" s="15"/>
      <c r="H238" s="98">
        <f>H239</f>
        <v>4866.95598</v>
      </c>
      <c r="I238" s="98">
        <f>I239</f>
        <v>4866.95598</v>
      </c>
      <c r="J238" s="99">
        <f t="shared" si="13"/>
        <v>100</v>
      </c>
    </row>
    <row r="239" spans="1:10" ht="31.5">
      <c r="A239" s="20" t="s">
        <v>326</v>
      </c>
      <c r="B239" s="21" t="s">
        <v>57</v>
      </c>
      <c r="C239" s="21" t="s">
        <v>22</v>
      </c>
      <c r="D239" s="21" t="s">
        <v>8</v>
      </c>
      <c r="E239" s="21" t="s">
        <v>335</v>
      </c>
      <c r="F239" s="21" t="s">
        <v>153</v>
      </c>
      <c r="G239" s="15"/>
      <c r="H239" s="98">
        <v>4866.95598</v>
      </c>
      <c r="I239" s="98">
        <v>4866.95598</v>
      </c>
      <c r="J239" s="99">
        <f t="shared" si="13"/>
        <v>100</v>
      </c>
    </row>
    <row r="240" spans="1:10" ht="31.5">
      <c r="A240" s="20" t="s">
        <v>336</v>
      </c>
      <c r="B240" s="21" t="s">
        <v>57</v>
      </c>
      <c r="C240" s="21" t="s">
        <v>22</v>
      </c>
      <c r="D240" s="21" t="s">
        <v>8</v>
      </c>
      <c r="E240" s="21" t="s">
        <v>337</v>
      </c>
      <c r="F240" s="21"/>
      <c r="G240" s="15"/>
      <c r="H240" s="98">
        <f>H241</f>
        <v>5000</v>
      </c>
      <c r="I240" s="98">
        <f>I241</f>
        <v>4003.85284</v>
      </c>
      <c r="J240" s="99">
        <f t="shared" si="13"/>
        <v>80.07705680000001</v>
      </c>
    </row>
    <row r="241" spans="1:10" ht="31.5">
      <c r="A241" s="20" t="s">
        <v>326</v>
      </c>
      <c r="B241" s="21" t="s">
        <v>57</v>
      </c>
      <c r="C241" s="21" t="s">
        <v>22</v>
      </c>
      <c r="D241" s="21" t="s">
        <v>8</v>
      </c>
      <c r="E241" s="21" t="s">
        <v>337</v>
      </c>
      <c r="F241" s="21" t="s">
        <v>153</v>
      </c>
      <c r="G241" s="15"/>
      <c r="H241" s="98">
        <v>5000</v>
      </c>
      <c r="I241" s="98">
        <v>4003.85284</v>
      </c>
      <c r="J241" s="99">
        <f t="shared" si="13"/>
        <v>80.07705680000001</v>
      </c>
    </row>
    <row r="242" spans="1:10" ht="15.75">
      <c r="A242" s="20" t="s">
        <v>24</v>
      </c>
      <c r="B242" s="21" t="s">
        <v>57</v>
      </c>
      <c r="C242" s="21" t="s">
        <v>22</v>
      </c>
      <c r="D242" s="21" t="s">
        <v>18</v>
      </c>
      <c r="E242" s="21"/>
      <c r="F242" s="21"/>
      <c r="G242" s="15"/>
      <c r="H242" s="98">
        <f>H250+H261+H243</f>
        <v>33332.32806</v>
      </c>
      <c r="I242" s="98">
        <f>I250+I261+I243</f>
        <v>33032.35802</v>
      </c>
      <c r="J242" s="99">
        <f t="shared" si="13"/>
        <v>99.10006273951211</v>
      </c>
    </row>
    <row r="243" spans="1:10" ht="47.25">
      <c r="A243" s="78" t="s">
        <v>338</v>
      </c>
      <c r="B243" s="21" t="s">
        <v>57</v>
      </c>
      <c r="C243" s="21" t="s">
        <v>22</v>
      </c>
      <c r="D243" s="21" t="s">
        <v>18</v>
      </c>
      <c r="E243" s="21" t="s">
        <v>339</v>
      </c>
      <c r="F243" s="21"/>
      <c r="G243" s="15"/>
      <c r="H243" s="98">
        <f>H244+H246</f>
        <v>23400</v>
      </c>
      <c r="I243" s="98">
        <f>I244+I246</f>
        <v>23400</v>
      </c>
      <c r="J243" s="99">
        <f t="shared" si="13"/>
        <v>100</v>
      </c>
    </row>
    <row r="244" spans="1:10" ht="15.75">
      <c r="A244" s="78" t="s">
        <v>340</v>
      </c>
      <c r="B244" s="21" t="s">
        <v>57</v>
      </c>
      <c r="C244" s="21" t="s">
        <v>22</v>
      </c>
      <c r="D244" s="21" t="s">
        <v>18</v>
      </c>
      <c r="E244" s="21" t="s">
        <v>341</v>
      </c>
      <c r="F244" s="21"/>
      <c r="G244" s="15"/>
      <c r="H244" s="105">
        <f>H245</f>
        <v>10000</v>
      </c>
      <c r="I244" s="98">
        <f>I245</f>
        <v>10000</v>
      </c>
      <c r="J244" s="99">
        <f t="shared" si="13"/>
        <v>100</v>
      </c>
    </row>
    <row r="245" spans="1:10" ht="47.25">
      <c r="A245" s="20" t="s">
        <v>269</v>
      </c>
      <c r="B245" s="21" t="s">
        <v>57</v>
      </c>
      <c r="C245" s="21" t="s">
        <v>22</v>
      </c>
      <c r="D245" s="21" t="s">
        <v>18</v>
      </c>
      <c r="E245" s="21" t="s">
        <v>341</v>
      </c>
      <c r="F245" s="21" t="s">
        <v>110</v>
      </c>
      <c r="G245" s="15"/>
      <c r="H245" s="105">
        <v>10000</v>
      </c>
      <c r="I245" s="98">
        <v>10000</v>
      </c>
      <c r="J245" s="99">
        <f t="shared" si="13"/>
        <v>100</v>
      </c>
    </row>
    <row r="246" spans="1:10" ht="63">
      <c r="A246" s="20" t="s">
        <v>342</v>
      </c>
      <c r="B246" s="21" t="s">
        <v>57</v>
      </c>
      <c r="C246" s="21" t="s">
        <v>22</v>
      </c>
      <c r="D246" s="21" t="s">
        <v>18</v>
      </c>
      <c r="E246" s="21" t="s">
        <v>343</v>
      </c>
      <c r="F246" s="21"/>
      <c r="G246" s="15"/>
      <c r="H246" s="106">
        <f>H247+H249+H248</f>
        <v>13400</v>
      </c>
      <c r="I246" s="98">
        <f>I247+I249+I248</f>
        <v>13400</v>
      </c>
      <c r="J246" s="99">
        <f t="shared" si="13"/>
        <v>100</v>
      </c>
    </row>
    <row r="247" spans="1:10" ht="31.5">
      <c r="A247" s="20" t="s">
        <v>124</v>
      </c>
      <c r="B247" s="21" t="s">
        <v>57</v>
      </c>
      <c r="C247" s="21" t="s">
        <v>22</v>
      </c>
      <c r="D247" s="21" t="s">
        <v>18</v>
      </c>
      <c r="E247" s="21" t="s">
        <v>343</v>
      </c>
      <c r="F247" s="21" t="s">
        <v>123</v>
      </c>
      <c r="G247" s="15"/>
      <c r="H247" s="105">
        <v>2871</v>
      </c>
      <c r="I247" s="98">
        <v>2871</v>
      </c>
      <c r="J247" s="99">
        <f t="shared" si="13"/>
        <v>100</v>
      </c>
    </row>
    <row r="248" spans="1:10" ht="31.5">
      <c r="A248" s="20" t="s">
        <v>267</v>
      </c>
      <c r="B248" s="21" t="s">
        <v>57</v>
      </c>
      <c r="C248" s="21" t="s">
        <v>22</v>
      </c>
      <c r="D248" s="21" t="s">
        <v>18</v>
      </c>
      <c r="E248" s="21" t="s">
        <v>343</v>
      </c>
      <c r="F248" s="21" t="s">
        <v>268</v>
      </c>
      <c r="G248" s="15"/>
      <c r="H248" s="105">
        <v>440.82</v>
      </c>
      <c r="I248" s="98">
        <v>440.82</v>
      </c>
      <c r="J248" s="99">
        <f aca="true" t="shared" si="14" ref="J248:J311">I248/H248*100</f>
        <v>100</v>
      </c>
    </row>
    <row r="249" spans="1:10" ht="47.25">
      <c r="A249" s="20" t="s">
        <v>269</v>
      </c>
      <c r="B249" s="21" t="s">
        <v>57</v>
      </c>
      <c r="C249" s="21" t="s">
        <v>22</v>
      </c>
      <c r="D249" s="21" t="s">
        <v>18</v>
      </c>
      <c r="E249" s="21" t="s">
        <v>343</v>
      </c>
      <c r="F249" s="21" t="s">
        <v>110</v>
      </c>
      <c r="G249" s="15"/>
      <c r="H249" s="105">
        <f>88.18+10000</f>
        <v>10088.18</v>
      </c>
      <c r="I249" s="98">
        <v>10088.18</v>
      </c>
      <c r="J249" s="99">
        <f t="shared" si="14"/>
        <v>100</v>
      </c>
    </row>
    <row r="250" spans="1:10" ht="47.25">
      <c r="A250" s="20" t="s">
        <v>328</v>
      </c>
      <c r="B250" s="21" t="s">
        <v>57</v>
      </c>
      <c r="C250" s="21" t="s">
        <v>22</v>
      </c>
      <c r="D250" s="21" t="s">
        <v>18</v>
      </c>
      <c r="E250" s="21" t="s">
        <v>329</v>
      </c>
      <c r="F250" s="21"/>
      <c r="G250" s="15"/>
      <c r="H250" s="98">
        <f>H251</f>
        <v>5236.360200000001</v>
      </c>
      <c r="I250" s="98">
        <f>I251</f>
        <v>5236.360100000001</v>
      </c>
      <c r="J250" s="99">
        <f t="shared" si="14"/>
        <v>99.99999809027652</v>
      </c>
    </row>
    <row r="251" spans="1:10" ht="31.5">
      <c r="A251" s="20" t="s">
        <v>344</v>
      </c>
      <c r="B251" s="21" t="s">
        <v>57</v>
      </c>
      <c r="C251" s="21" t="s">
        <v>22</v>
      </c>
      <c r="D251" s="21" t="s">
        <v>18</v>
      </c>
      <c r="E251" s="21" t="s">
        <v>345</v>
      </c>
      <c r="F251" s="21"/>
      <c r="G251" s="15"/>
      <c r="H251" s="98">
        <f>H252+H258</f>
        <v>5236.360200000001</v>
      </c>
      <c r="I251" s="98">
        <f>I252+I258</f>
        <v>5236.360100000001</v>
      </c>
      <c r="J251" s="99">
        <f t="shared" si="14"/>
        <v>99.99999809027652</v>
      </c>
    </row>
    <row r="252" spans="1:10" ht="31.5">
      <c r="A252" s="20" t="s">
        <v>346</v>
      </c>
      <c r="B252" s="21" t="s">
        <v>57</v>
      </c>
      <c r="C252" s="21" t="s">
        <v>22</v>
      </c>
      <c r="D252" s="21" t="s">
        <v>18</v>
      </c>
      <c r="E252" s="21" t="s">
        <v>347</v>
      </c>
      <c r="F252" s="21"/>
      <c r="G252" s="15"/>
      <c r="H252" s="98">
        <f>H253+H255</f>
        <v>4206.350100000001</v>
      </c>
      <c r="I252" s="98">
        <f>I253+I255</f>
        <v>4206.350100000001</v>
      </c>
      <c r="J252" s="99">
        <f t="shared" si="14"/>
        <v>100</v>
      </c>
    </row>
    <row r="253" spans="1:10" ht="31.5">
      <c r="A253" s="20" t="s">
        <v>348</v>
      </c>
      <c r="B253" s="21" t="s">
        <v>57</v>
      </c>
      <c r="C253" s="21" t="s">
        <v>22</v>
      </c>
      <c r="D253" s="21" t="s">
        <v>18</v>
      </c>
      <c r="E253" s="21" t="s">
        <v>349</v>
      </c>
      <c r="F253" s="21"/>
      <c r="G253" s="15"/>
      <c r="H253" s="106">
        <f>H254</f>
        <v>101.0101</v>
      </c>
      <c r="I253" s="106">
        <f>I254</f>
        <v>101.0101</v>
      </c>
      <c r="J253" s="99">
        <f t="shared" si="14"/>
        <v>100</v>
      </c>
    </row>
    <row r="254" spans="1:10" ht="47.25">
      <c r="A254" s="20" t="s">
        <v>269</v>
      </c>
      <c r="B254" s="21" t="s">
        <v>57</v>
      </c>
      <c r="C254" s="21" t="s">
        <v>22</v>
      </c>
      <c r="D254" s="21" t="s">
        <v>18</v>
      </c>
      <c r="E254" s="21" t="s">
        <v>349</v>
      </c>
      <c r="F254" s="21" t="s">
        <v>110</v>
      </c>
      <c r="G254" s="15"/>
      <c r="H254" s="106">
        <v>101.0101</v>
      </c>
      <c r="I254" s="106">
        <v>101.0101</v>
      </c>
      <c r="J254" s="99">
        <f t="shared" si="14"/>
        <v>100</v>
      </c>
    </row>
    <row r="255" spans="1:10" ht="63">
      <c r="A255" s="20" t="s">
        <v>350</v>
      </c>
      <c r="B255" s="21" t="s">
        <v>57</v>
      </c>
      <c r="C255" s="21" t="s">
        <v>22</v>
      </c>
      <c r="D255" s="21" t="s">
        <v>18</v>
      </c>
      <c r="E255" s="21" t="s">
        <v>351</v>
      </c>
      <c r="F255" s="21"/>
      <c r="G255" s="15"/>
      <c r="H255" s="106">
        <f>H256+H257</f>
        <v>4105.34</v>
      </c>
      <c r="I255" s="106">
        <f>I256+I257</f>
        <v>4105.34</v>
      </c>
      <c r="J255" s="99">
        <f t="shared" si="14"/>
        <v>100</v>
      </c>
    </row>
    <row r="256" spans="1:10" ht="31.5">
      <c r="A256" s="20" t="s">
        <v>267</v>
      </c>
      <c r="B256" s="21" t="s">
        <v>57</v>
      </c>
      <c r="C256" s="21" t="s">
        <v>22</v>
      </c>
      <c r="D256" s="21" t="s">
        <v>18</v>
      </c>
      <c r="E256" s="21" t="s">
        <v>351</v>
      </c>
      <c r="F256" s="21" t="s">
        <v>268</v>
      </c>
      <c r="G256" s="15"/>
      <c r="H256" s="106">
        <v>4.45</v>
      </c>
      <c r="I256" s="106">
        <v>4.45</v>
      </c>
      <c r="J256" s="99">
        <f t="shared" si="14"/>
        <v>100</v>
      </c>
    </row>
    <row r="257" spans="1:10" ht="47.25">
      <c r="A257" s="20" t="s">
        <v>269</v>
      </c>
      <c r="B257" s="21" t="s">
        <v>57</v>
      </c>
      <c r="C257" s="21" t="s">
        <v>22</v>
      </c>
      <c r="D257" s="21" t="s">
        <v>18</v>
      </c>
      <c r="E257" s="21" t="s">
        <v>351</v>
      </c>
      <c r="F257" s="21" t="s">
        <v>110</v>
      </c>
      <c r="G257" s="15"/>
      <c r="H257" s="106">
        <v>4100.89</v>
      </c>
      <c r="I257" s="106">
        <v>4100.89</v>
      </c>
      <c r="J257" s="99">
        <f t="shared" si="14"/>
        <v>100</v>
      </c>
    </row>
    <row r="258" spans="1:10" ht="47.25">
      <c r="A258" s="20" t="s">
        <v>352</v>
      </c>
      <c r="B258" s="21" t="s">
        <v>57</v>
      </c>
      <c r="C258" s="21" t="s">
        <v>22</v>
      </c>
      <c r="D258" s="21" t="s">
        <v>18</v>
      </c>
      <c r="E258" s="21" t="s">
        <v>353</v>
      </c>
      <c r="F258" s="21"/>
      <c r="G258" s="15"/>
      <c r="H258" s="98">
        <f>H259+H260</f>
        <v>1030.0101</v>
      </c>
      <c r="I258" s="98">
        <f>I259+I260</f>
        <v>1030.01</v>
      </c>
      <c r="J258" s="99">
        <f t="shared" si="14"/>
        <v>99.99999029135735</v>
      </c>
    </row>
    <row r="259" spans="1:10" ht="31.5">
      <c r="A259" s="20" t="s">
        <v>124</v>
      </c>
      <c r="B259" s="21" t="s">
        <v>57</v>
      </c>
      <c r="C259" s="21" t="s">
        <v>22</v>
      </c>
      <c r="D259" s="21" t="s">
        <v>18</v>
      </c>
      <c r="E259" s="21" t="s">
        <v>353</v>
      </c>
      <c r="F259" s="21" t="s">
        <v>123</v>
      </c>
      <c r="G259" s="15"/>
      <c r="H259" s="98">
        <v>29</v>
      </c>
      <c r="I259" s="98">
        <v>29</v>
      </c>
      <c r="J259" s="99">
        <f t="shared" si="14"/>
        <v>100</v>
      </c>
    </row>
    <row r="260" spans="1:10" ht="47.25">
      <c r="A260" s="20" t="s">
        <v>269</v>
      </c>
      <c r="B260" s="21" t="s">
        <v>57</v>
      </c>
      <c r="C260" s="21" t="s">
        <v>22</v>
      </c>
      <c r="D260" s="21" t="s">
        <v>18</v>
      </c>
      <c r="E260" s="21" t="s">
        <v>353</v>
      </c>
      <c r="F260" s="21" t="s">
        <v>110</v>
      </c>
      <c r="G260" s="15"/>
      <c r="H260" s="98">
        <v>1001.0101</v>
      </c>
      <c r="I260" s="98">
        <v>1001.01</v>
      </c>
      <c r="J260" s="99">
        <f t="shared" si="14"/>
        <v>99.99999001009081</v>
      </c>
    </row>
    <row r="261" spans="1:10" ht="78.75">
      <c r="A261" s="20" t="s">
        <v>258</v>
      </c>
      <c r="B261" s="21" t="s">
        <v>57</v>
      </c>
      <c r="C261" s="21" t="s">
        <v>22</v>
      </c>
      <c r="D261" s="21" t="s">
        <v>18</v>
      </c>
      <c r="E261" s="21" t="s">
        <v>259</v>
      </c>
      <c r="F261" s="21"/>
      <c r="G261" s="15"/>
      <c r="H261" s="98">
        <f>H262</f>
        <v>4695.96786</v>
      </c>
      <c r="I261" s="98">
        <f>I262</f>
        <v>4395.99792</v>
      </c>
      <c r="J261" s="99">
        <f t="shared" si="14"/>
        <v>93.6121807273187</v>
      </c>
    </row>
    <row r="262" spans="1:10" ht="47.25">
      <c r="A262" s="20" t="s">
        <v>290</v>
      </c>
      <c r="B262" s="21" t="s">
        <v>57</v>
      </c>
      <c r="C262" s="21" t="s">
        <v>22</v>
      </c>
      <c r="D262" s="21" t="s">
        <v>18</v>
      </c>
      <c r="E262" s="21" t="s">
        <v>261</v>
      </c>
      <c r="F262" s="21"/>
      <c r="G262" s="15"/>
      <c r="H262" s="98">
        <f>H263</f>
        <v>4695.96786</v>
      </c>
      <c r="I262" s="98">
        <f>I263</f>
        <v>4395.99792</v>
      </c>
      <c r="J262" s="99">
        <f t="shared" si="14"/>
        <v>93.6121807273187</v>
      </c>
    </row>
    <row r="263" spans="1:10" ht="31.5">
      <c r="A263" s="20" t="s">
        <v>354</v>
      </c>
      <c r="B263" s="21" t="s">
        <v>57</v>
      </c>
      <c r="C263" s="21" t="s">
        <v>22</v>
      </c>
      <c r="D263" s="21" t="s">
        <v>18</v>
      </c>
      <c r="E263" s="21" t="s">
        <v>355</v>
      </c>
      <c r="F263" s="21"/>
      <c r="G263" s="15"/>
      <c r="H263" s="98">
        <f>H264+H267</f>
        <v>4695.96786</v>
      </c>
      <c r="I263" s="98">
        <f>I264+I267</f>
        <v>4395.99792</v>
      </c>
      <c r="J263" s="99">
        <f t="shared" si="14"/>
        <v>93.6121807273187</v>
      </c>
    </row>
    <row r="264" spans="1:10" ht="47.25">
      <c r="A264" s="20" t="s">
        <v>356</v>
      </c>
      <c r="B264" s="21" t="s">
        <v>57</v>
      </c>
      <c r="C264" s="21" t="s">
        <v>22</v>
      </c>
      <c r="D264" s="21" t="s">
        <v>18</v>
      </c>
      <c r="E264" s="21" t="s">
        <v>357</v>
      </c>
      <c r="F264" s="21"/>
      <c r="G264" s="15"/>
      <c r="H264" s="98">
        <f>H265+H266</f>
        <v>1026.1107</v>
      </c>
      <c r="I264" s="98">
        <f>I265+I266</f>
        <v>995.60545</v>
      </c>
      <c r="J264" s="99">
        <f t="shared" si="14"/>
        <v>97.02709951275239</v>
      </c>
    </row>
    <row r="265" spans="1:10" ht="15.75">
      <c r="A265" s="20" t="s">
        <v>140</v>
      </c>
      <c r="B265" s="21" t="s">
        <v>57</v>
      </c>
      <c r="C265" s="21" t="s">
        <v>22</v>
      </c>
      <c r="D265" s="21" t="s">
        <v>18</v>
      </c>
      <c r="E265" s="21" t="s">
        <v>357</v>
      </c>
      <c r="F265" s="21" t="s">
        <v>90</v>
      </c>
      <c r="G265" s="15"/>
      <c r="H265" s="98">
        <f>67.82945+198</f>
        <v>265.82945</v>
      </c>
      <c r="I265" s="98">
        <f>67.82945+198</f>
        <v>265.82945</v>
      </c>
      <c r="J265" s="99">
        <f t="shared" si="14"/>
        <v>100</v>
      </c>
    </row>
    <row r="266" spans="1:10" ht="31.5">
      <c r="A266" s="20" t="s">
        <v>145</v>
      </c>
      <c r="B266" s="21" t="s">
        <v>57</v>
      </c>
      <c r="C266" s="21" t="s">
        <v>22</v>
      </c>
      <c r="D266" s="21" t="s">
        <v>18</v>
      </c>
      <c r="E266" s="21" t="s">
        <v>357</v>
      </c>
      <c r="F266" s="21" t="s">
        <v>146</v>
      </c>
      <c r="G266" s="15"/>
      <c r="H266" s="98">
        <f>1967.28125-198-1009</f>
        <v>760.28125</v>
      </c>
      <c r="I266" s="98">
        <v>729.776</v>
      </c>
      <c r="J266" s="99">
        <f t="shared" si="14"/>
        <v>95.98763615438365</v>
      </c>
    </row>
    <row r="267" spans="1:10" ht="31.5">
      <c r="A267" s="20" t="s">
        <v>358</v>
      </c>
      <c r="B267" s="21" t="s">
        <v>57</v>
      </c>
      <c r="C267" s="21" t="s">
        <v>22</v>
      </c>
      <c r="D267" s="21" t="s">
        <v>18</v>
      </c>
      <c r="E267" s="21" t="s">
        <v>359</v>
      </c>
      <c r="F267" s="21"/>
      <c r="G267" s="15"/>
      <c r="H267" s="98">
        <f>H268</f>
        <v>3669.85716</v>
      </c>
      <c r="I267" s="98">
        <f>I268</f>
        <v>3400.39247</v>
      </c>
      <c r="J267" s="99">
        <f t="shared" si="14"/>
        <v>92.6573520916002</v>
      </c>
    </row>
    <row r="268" spans="1:10" ht="31.5">
      <c r="A268" s="20" t="s">
        <v>145</v>
      </c>
      <c r="B268" s="21" t="s">
        <v>57</v>
      </c>
      <c r="C268" s="21" t="s">
        <v>22</v>
      </c>
      <c r="D268" s="21" t="s">
        <v>18</v>
      </c>
      <c r="E268" s="21" t="s">
        <v>359</v>
      </c>
      <c r="F268" s="21" t="s">
        <v>146</v>
      </c>
      <c r="G268" s="15"/>
      <c r="H268" s="98">
        <f>4073.86726-404.0101</f>
        <v>3669.85716</v>
      </c>
      <c r="I268" s="98">
        <v>3400.39247</v>
      </c>
      <c r="J268" s="99">
        <f t="shared" si="14"/>
        <v>92.6573520916002</v>
      </c>
    </row>
    <row r="269" spans="1:10" ht="15.75">
      <c r="A269" s="20" t="s">
        <v>47</v>
      </c>
      <c r="B269" s="21" t="s">
        <v>57</v>
      </c>
      <c r="C269" s="21" t="s">
        <v>22</v>
      </c>
      <c r="D269" s="21" t="s">
        <v>10</v>
      </c>
      <c r="E269" s="21"/>
      <c r="F269" s="21"/>
      <c r="G269" s="15" t="e">
        <f>#REF!+#REF!+#REF!</f>
        <v>#REF!</v>
      </c>
      <c r="H269" s="98">
        <f>H276+H273+H270</f>
        <v>55654.394</v>
      </c>
      <c r="I269" s="98">
        <f>I276+I273+I270</f>
        <v>29709.25295</v>
      </c>
      <c r="J269" s="99">
        <f t="shared" si="14"/>
        <v>53.381684382368796</v>
      </c>
    </row>
    <row r="270" spans="1:10" ht="47.25">
      <c r="A270" s="78" t="s">
        <v>360</v>
      </c>
      <c r="B270" s="21" t="s">
        <v>57</v>
      </c>
      <c r="C270" s="21" t="s">
        <v>22</v>
      </c>
      <c r="D270" s="21" t="s">
        <v>10</v>
      </c>
      <c r="E270" s="79" t="s">
        <v>212</v>
      </c>
      <c r="F270" s="21"/>
      <c r="G270" s="15"/>
      <c r="H270" s="98">
        <f>H271</f>
        <v>2526.3</v>
      </c>
      <c r="I270" s="98">
        <f>I271</f>
        <v>2526.3</v>
      </c>
      <c r="J270" s="99">
        <f t="shared" si="14"/>
        <v>100</v>
      </c>
    </row>
    <row r="271" spans="1:10" ht="63">
      <c r="A271" s="80" t="s">
        <v>361</v>
      </c>
      <c r="B271" s="21" t="s">
        <v>57</v>
      </c>
      <c r="C271" s="21" t="s">
        <v>22</v>
      </c>
      <c r="D271" s="21" t="s">
        <v>10</v>
      </c>
      <c r="E271" s="83" t="s">
        <v>362</v>
      </c>
      <c r="F271" s="21"/>
      <c r="G271" s="15"/>
      <c r="H271" s="98">
        <f>H272</f>
        <v>2526.3</v>
      </c>
      <c r="I271" s="98">
        <f>I272</f>
        <v>2526.3</v>
      </c>
      <c r="J271" s="99">
        <f t="shared" si="14"/>
        <v>100</v>
      </c>
    </row>
    <row r="272" spans="1:10" ht="31.5">
      <c r="A272" s="20" t="s">
        <v>145</v>
      </c>
      <c r="B272" s="21" t="s">
        <v>57</v>
      </c>
      <c r="C272" s="21" t="s">
        <v>22</v>
      </c>
      <c r="D272" s="21" t="s">
        <v>10</v>
      </c>
      <c r="E272" s="83" t="s">
        <v>362</v>
      </c>
      <c r="F272" s="21" t="s">
        <v>146</v>
      </c>
      <c r="G272" s="15"/>
      <c r="H272" s="99">
        <v>2526.3</v>
      </c>
      <c r="I272" s="98">
        <v>2526.3</v>
      </c>
      <c r="J272" s="99">
        <f t="shared" si="14"/>
        <v>100</v>
      </c>
    </row>
    <row r="273" spans="1:10" ht="47.25">
      <c r="A273" s="78" t="s">
        <v>363</v>
      </c>
      <c r="B273" s="21" t="s">
        <v>57</v>
      </c>
      <c r="C273" s="21" t="s">
        <v>22</v>
      </c>
      <c r="D273" s="21" t="s">
        <v>10</v>
      </c>
      <c r="E273" s="79" t="s">
        <v>364</v>
      </c>
      <c r="F273" s="21"/>
      <c r="G273" s="15"/>
      <c r="H273" s="99">
        <f>H274</f>
        <v>36366</v>
      </c>
      <c r="I273" s="98">
        <f>I274</f>
        <v>10660.37862</v>
      </c>
      <c r="J273" s="99">
        <f t="shared" si="14"/>
        <v>29.314135786173896</v>
      </c>
    </row>
    <row r="274" spans="1:10" ht="47.25">
      <c r="A274" s="80" t="s">
        <v>365</v>
      </c>
      <c r="B274" s="21" t="s">
        <v>57</v>
      </c>
      <c r="C274" s="21" t="s">
        <v>22</v>
      </c>
      <c r="D274" s="21" t="s">
        <v>10</v>
      </c>
      <c r="E274" s="83" t="s">
        <v>366</v>
      </c>
      <c r="F274" s="21"/>
      <c r="G274" s="15"/>
      <c r="H274" s="99">
        <f>H275</f>
        <v>36366</v>
      </c>
      <c r="I274" s="98">
        <f>I275</f>
        <v>10660.37862</v>
      </c>
      <c r="J274" s="99">
        <f t="shared" si="14"/>
        <v>29.314135786173896</v>
      </c>
    </row>
    <row r="275" spans="1:10" ht="31.5">
      <c r="A275" s="20" t="s">
        <v>145</v>
      </c>
      <c r="B275" s="21" t="s">
        <v>57</v>
      </c>
      <c r="C275" s="21" t="s">
        <v>22</v>
      </c>
      <c r="D275" s="21" t="s">
        <v>10</v>
      </c>
      <c r="E275" s="83" t="s">
        <v>366</v>
      </c>
      <c r="F275" s="21" t="s">
        <v>146</v>
      </c>
      <c r="G275" s="15"/>
      <c r="H275" s="99">
        <f>43580+2000-9214</f>
        <v>36366</v>
      </c>
      <c r="I275" s="98">
        <v>10660.37862</v>
      </c>
      <c r="J275" s="99">
        <f t="shared" si="14"/>
        <v>29.314135786173896</v>
      </c>
    </row>
    <row r="276" spans="1:10" ht="78.75">
      <c r="A276" s="20" t="s">
        <v>258</v>
      </c>
      <c r="B276" s="21" t="s">
        <v>57</v>
      </c>
      <c r="C276" s="21" t="s">
        <v>22</v>
      </c>
      <c r="D276" s="21" t="s">
        <v>10</v>
      </c>
      <c r="E276" s="21" t="s">
        <v>259</v>
      </c>
      <c r="F276" s="21"/>
      <c r="G276" s="15"/>
      <c r="H276" s="98">
        <f>H277</f>
        <v>16762.093999999997</v>
      </c>
      <c r="I276" s="98">
        <f>I277</f>
        <v>16522.57433</v>
      </c>
      <c r="J276" s="99">
        <f t="shared" si="14"/>
        <v>98.57106355566316</v>
      </c>
    </row>
    <row r="277" spans="1:10" ht="47.25">
      <c r="A277" s="20" t="s">
        <v>290</v>
      </c>
      <c r="B277" s="21" t="s">
        <v>57</v>
      </c>
      <c r="C277" s="21" t="s">
        <v>22</v>
      </c>
      <c r="D277" s="21" t="s">
        <v>10</v>
      </c>
      <c r="E277" s="21" t="s">
        <v>261</v>
      </c>
      <c r="F277" s="21"/>
      <c r="G277" s="15"/>
      <c r="H277" s="98">
        <f>H278</f>
        <v>16762.093999999997</v>
      </c>
      <c r="I277" s="98">
        <f>I278</f>
        <v>16522.57433</v>
      </c>
      <c r="J277" s="99">
        <f t="shared" si="14"/>
        <v>98.57106355566316</v>
      </c>
    </row>
    <row r="278" spans="1:10" ht="31.5">
      <c r="A278" s="20" t="s">
        <v>354</v>
      </c>
      <c r="B278" s="21" t="s">
        <v>57</v>
      </c>
      <c r="C278" s="21" t="s">
        <v>22</v>
      </c>
      <c r="D278" s="21" t="s">
        <v>10</v>
      </c>
      <c r="E278" s="21" t="s">
        <v>355</v>
      </c>
      <c r="F278" s="21"/>
      <c r="G278" s="15"/>
      <c r="H278" s="98">
        <f>H279+H283+H285+H289+H287+H291</f>
        <v>16762.093999999997</v>
      </c>
      <c r="I278" s="98">
        <f>I279+I283+I285+I289+I287+I291</f>
        <v>16522.57433</v>
      </c>
      <c r="J278" s="99">
        <f t="shared" si="14"/>
        <v>98.57106355566316</v>
      </c>
    </row>
    <row r="279" spans="1:10" ht="47.25">
      <c r="A279" s="20" t="s">
        <v>356</v>
      </c>
      <c r="B279" s="21" t="s">
        <v>57</v>
      </c>
      <c r="C279" s="21" t="s">
        <v>22</v>
      </c>
      <c r="D279" s="21" t="s">
        <v>10</v>
      </c>
      <c r="E279" s="21" t="s">
        <v>357</v>
      </c>
      <c r="F279" s="21"/>
      <c r="G279" s="15"/>
      <c r="H279" s="98">
        <f>H280+H282+H281</f>
        <v>4067.06979</v>
      </c>
      <c r="I279" s="98">
        <f>I280+I282+I281</f>
        <v>3936.88735</v>
      </c>
      <c r="J279" s="99">
        <f t="shared" si="14"/>
        <v>96.79910975906809</v>
      </c>
    </row>
    <row r="280" spans="1:10" ht="15.75">
      <c r="A280" s="20" t="s">
        <v>140</v>
      </c>
      <c r="B280" s="21" t="s">
        <v>57</v>
      </c>
      <c r="C280" s="21" t="s">
        <v>22</v>
      </c>
      <c r="D280" s="21" t="s">
        <v>10</v>
      </c>
      <c r="E280" s="21" t="s">
        <v>357</v>
      </c>
      <c r="F280" s="21" t="s">
        <v>90</v>
      </c>
      <c r="G280" s="15"/>
      <c r="H280" s="98">
        <v>3555.06979</v>
      </c>
      <c r="I280" s="98">
        <v>3428.44535</v>
      </c>
      <c r="J280" s="99">
        <f t="shared" si="14"/>
        <v>96.4382010064562</v>
      </c>
    </row>
    <row r="281" spans="1:10" ht="47.25">
      <c r="A281" s="20" t="s">
        <v>269</v>
      </c>
      <c r="B281" s="21" t="s">
        <v>57</v>
      </c>
      <c r="C281" s="21" t="s">
        <v>22</v>
      </c>
      <c r="D281" s="21" t="s">
        <v>10</v>
      </c>
      <c r="E281" s="21" t="s">
        <v>357</v>
      </c>
      <c r="F281" s="21" t="s">
        <v>110</v>
      </c>
      <c r="G281" s="15"/>
      <c r="H281" s="98">
        <v>500</v>
      </c>
      <c r="I281" s="98">
        <v>497.5</v>
      </c>
      <c r="J281" s="99">
        <f t="shared" si="14"/>
        <v>99.5</v>
      </c>
    </row>
    <row r="282" spans="1:10" ht="15.75">
      <c r="A282" s="20" t="s">
        <v>97</v>
      </c>
      <c r="B282" s="21" t="s">
        <v>57</v>
      </c>
      <c r="C282" s="21" t="s">
        <v>22</v>
      </c>
      <c r="D282" s="21" t="s">
        <v>10</v>
      </c>
      <c r="E282" s="21" t="s">
        <v>357</v>
      </c>
      <c r="F282" s="21" t="s">
        <v>95</v>
      </c>
      <c r="G282" s="15"/>
      <c r="H282" s="98">
        <v>12</v>
      </c>
      <c r="I282" s="98">
        <v>10.942</v>
      </c>
      <c r="J282" s="99">
        <f t="shared" si="14"/>
        <v>91.18333333333334</v>
      </c>
    </row>
    <row r="283" spans="1:10" ht="31.5">
      <c r="A283" s="20" t="s">
        <v>291</v>
      </c>
      <c r="B283" s="21" t="s">
        <v>57</v>
      </c>
      <c r="C283" s="21" t="s">
        <v>22</v>
      </c>
      <c r="D283" s="21" t="s">
        <v>10</v>
      </c>
      <c r="E283" s="21" t="s">
        <v>292</v>
      </c>
      <c r="F283" s="21"/>
      <c r="G283" s="15"/>
      <c r="H283" s="98">
        <f>H284</f>
        <v>5085.296</v>
      </c>
      <c r="I283" s="98">
        <f>I284</f>
        <v>5080.296</v>
      </c>
      <c r="J283" s="99">
        <f t="shared" si="14"/>
        <v>99.90167730649307</v>
      </c>
    </row>
    <row r="284" spans="1:10" ht="31.5">
      <c r="A284" s="20" t="s">
        <v>145</v>
      </c>
      <c r="B284" s="21" t="s">
        <v>57</v>
      </c>
      <c r="C284" s="21" t="s">
        <v>22</v>
      </c>
      <c r="D284" s="21" t="s">
        <v>10</v>
      </c>
      <c r="E284" s="21" t="s">
        <v>292</v>
      </c>
      <c r="F284" s="21" t="s">
        <v>146</v>
      </c>
      <c r="G284" s="15"/>
      <c r="H284" s="98">
        <v>5085.296</v>
      </c>
      <c r="I284" s="98">
        <v>5080.296</v>
      </c>
      <c r="J284" s="99">
        <f t="shared" si="14"/>
        <v>99.90167730649307</v>
      </c>
    </row>
    <row r="285" spans="1:10" ht="31.5">
      <c r="A285" s="20" t="s">
        <v>367</v>
      </c>
      <c r="B285" s="21" t="s">
        <v>57</v>
      </c>
      <c r="C285" s="21" t="s">
        <v>22</v>
      </c>
      <c r="D285" s="21" t="s">
        <v>10</v>
      </c>
      <c r="E285" s="21" t="s">
        <v>368</v>
      </c>
      <c r="F285" s="21"/>
      <c r="G285" s="15"/>
      <c r="H285" s="98">
        <f>H286</f>
        <v>2645.003</v>
      </c>
      <c r="I285" s="98">
        <f>I286</f>
        <v>2550.00021</v>
      </c>
      <c r="J285" s="99">
        <f t="shared" si="14"/>
        <v>96.40821617215558</v>
      </c>
    </row>
    <row r="286" spans="1:10" ht="31.5">
      <c r="A286" s="20" t="s">
        <v>145</v>
      </c>
      <c r="B286" s="21" t="s">
        <v>57</v>
      </c>
      <c r="C286" s="21" t="s">
        <v>22</v>
      </c>
      <c r="D286" s="21" t="s">
        <v>10</v>
      </c>
      <c r="E286" s="21" t="s">
        <v>368</v>
      </c>
      <c r="F286" s="21" t="s">
        <v>146</v>
      </c>
      <c r="G286" s="15"/>
      <c r="H286" s="98">
        <f>2342.003+303</f>
        <v>2645.003</v>
      </c>
      <c r="I286" s="98">
        <v>2550.00021</v>
      </c>
      <c r="J286" s="99">
        <f t="shared" si="14"/>
        <v>96.40821617215558</v>
      </c>
    </row>
    <row r="287" spans="1:10" ht="31.5">
      <c r="A287" s="20" t="s">
        <v>369</v>
      </c>
      <c r="B287" s="21" t="s">
        <v>57</v>
      </c>
      <c r="C287" s="21" t="s">
        <v>22</v>
      </c>
      <c r="D287" s="21" t="s">
        <v>10</v>
      </c>
      <c r="E287" s="21" t="s">
        <v>370</v>
      </c>
      <c r="F287" s="21"/>
      <c r="G287" s="15"/>
      <c r="H287" s="98">
        <f>H288</f>
        <v>1082.997</v>
      </c>
      <c r="I287" s="98">
        <f>I288</f>
        <v>1079.641</v>
      </c>
      <c r="J287" s="99">
        <f t="shared" si="14"/>
        <v>99.69011917853882</v>
      </c>
    </row>
    <row r="288" spans="1:10" ht="31.5">
      <c r="A288" s="20" t="s">
        <v>124</v>
      </c>
      <c r="B288" s="21" t="s">
        <v>57</v>
      </c>
      <c r="C288" s="21" t="s">
        <v>22</v>
      </c>
      <c r="D288" s="21" t="s">
        <v>10</v>
      </c>
      <c r="E288" s="21" t="s">
        <v>370</v>
      </c>
      <c r="F288" s="21" t="s">
        <v>123</v>
      </c>
      <c r="G288" s="15"/>
      <c r="H288" s="98">
        <v>1082.997</v>
      </c>
      <c r="I288" s="98">
        <v>1079.641</v>
      </c>
      <c r="J288" s="99">
        <f t="shared" si="14"/>
        <v>99.69011917853882</v>
      </c>
    </row>
    <row r="289" spans="1:10" ht="31.5">
      <c r="A289" s="20" t="s">
        <v>371</v>
      </c>
      <c r="B289" s="21" t="s">
        <v>57</v>
      </c>
      <c r="C289" s="21" t="s">
        <v>22</v>
      </c>
      <c r="D289" s="21" t="s">
        <v>10</v>
      </c>
      <c r="E289" s="21" t="s">
        <v>372</v>
      </c>
      <c r="F289" s="21"/>
      <c r="G289" s="15"/>
      <c r="H289" s="98">
        <f>H290</f>
        <v>3240.3300999999997</v>
      </c>
      <c r="I289" s="98">
        <f>I290</f>
        <v>3239.35166</v>
      </c>
      <c r="J289" s="99">
        <f t="shared" si="14"/>
        <v>99.9698043109867</v>
      </c>
    </row>
    <row r="290" spans="1:10" ht="31.5">
      <c r="A290" s="20" t="s">
        <v>145</v>
      </c>
      <c r="B290" s="21" t="s">
        <v>57</v>
      </c>
      <c r="C290" s="21" t="s">
        <v>22</v>
      </c>
      <c r="D290" s="21" t="s">
        <v>10</v>
      </c>
      <c r="E290" s="21" t="s">
        <v>372</v>
      </c>
      <c r="F290" s="21" t="s">
        <v>146</v>
      </c>
      <c r="G290" s="15"/>
      <c r="H290" s="98">
        <f>3287.2101-46.88</f>
        <v>3240.3300999999997</v>
      </c>
      <c r="I290" s="98">
        <v>3239.35166</v>
      </c>
      <c r="J290" s="99">
        <f t="shared" si="14"/>
        <v>99.9698043109867</v>
      </c>
    </row>
    <row r="291" spans="1:10" ht="31.5">
      <c r="A291" s="20" t="s">
        <v>373</v>
      </c>
      <c r="B291" s="21" t="s">
        <v>57</v>
      </c>
      <c r="C291" s="21" t="s">
        <v>22</v>
      </c>
      <c r="D291" s="21" t="s">
        <v>10</v>
      </c>
      <c r="E291" s="21" t="s">
        <v>374</v>
      </c>
      <c r="F291" s="21"/>
      <c r="G291" s="15"/>
      <c r="H291" s="98">
        <f>H292</f>
        <v>641.39811</v>
      </c>
      <c r="I291" s="98">
        <f>I292</f>
        <v>636.39811</v>
      </c>
      <c r="J291" s="99">
        <f t="shared" si="14"/>
        <v>99.22045295705658</v>
      </c>
    </row>
    <row r="292" spans="1:10" ht="31.5">
      <c r="A292" s="20" t="s">
        <v>124</v>
      </c>
      <c r="B292" s="21" t="s">
        <v>57</v>
      </c>
      <c r="C292" s="21" t="s">
        <v>22</v>
      </c>
      <c r="D292" s="21" t="s">
        <v>10</v>
      </c>
      <c r="E292" s="21" t="s">
        <v>374</v>
      </c>
      <c r="F292" s="21" t="s">
        <v>123</v>
      </c>
      <c r="G292" s="15"/>
      <c r="H292" s="98">
        <v>641.39811</v>
      </c>
      <c r="I292" s="98">
        <v>636.39811</v>
      </c>
      <c r="J292" s="99">
        <f t="shared" si="14"/>
        <v>99.22045295705658</v>
      </c>
    </row>
    <row r="293" spans="1:10" ht="15.75">
      <c r="A293" s="20" t="s">
        <v>25</v>
      </c>
      <c r="B293" s="21" t="s">
        <v>57</v>
      </c>
      <c r="C293" s="21" t="s">
        <v>26</v>
      </c>
      <c r="D293" s="21" t="s">
        <v>9</v>
      </c>
      <c r="E293" s="21"/>
      <c r="F293" s="21"/>
      <c r="G293" s="15" t="e">
        <f>#REF!+#REF!+#REF!</f>
        <v>#REF!</v>
      </c>
      <c r="H293" s="98">
        <f>H333+H306+H294</f>
        <v>31911.742860000002</v>
      </c>
      <c r="I293" s="98">
        <f>I333+I306+I294</f>
        <v>31462.18234</v>
      </c>
      <c r="J293" s="99">
        <f t="shared" si="14"/>
        <v>98.59123795910405</v>
      </c>
    </row>
    <row r="294" spans="1:10" ht="15.75">
      <c r="A294" s="20" t="s">
        <v>27</v>
      </c>
      <c r="B294" s="21" t="s">
        <v>57</v>
      </c>
      <c r="C294" s="21" t="s">
        <v>26</v>
      </c>
      <c r="D294" s="21" t="s">
        <v>8</v>
      </c>
      <c r="E294" s="21"/>
      <c r="F294" s="21"/>
      <c r="G294" s="15" t="e">
        <f>#REF!+#REF!+#REF!</f>
        <v>#REF!</v>
      </c>
      <c r="H294" s="98">
        <f>+H295</f>
        <v>4411.78408</v>
      </c>
      <c r="I294" s="98">
        <f>+I295</f>
        <v>4313.94208</v>
      </c>
      <c r="J294" s="99">
        <f t="shared" si="14"/>
        <v>97.7822577391412</v>
      </c>
    </row>
    <row r="295" spans="1:10" ht="78.75">
      <c r="A295" s="20" t="s">
        <v>258</v>
      </c>
      <c r="B295" s="21" t="s">
        <v>57</v>
      </c>
      <c r="C295" s="21" t="s">
        <v>26</v>
      </c>
      <c r="D295" s="21" t="s">
        <v>8</v>
      </c>
      <c r="E295" s="21" t="s">
        <v>259</v>
      </c>
      <c r="F295" s="21"/>
      <c r="G295" s="15"/>
      <c r="H295" s="98">
        <f>H296</f>
        <v>4411.78408</v>
      </c>
      <c r="I295" s="98">
        <f>I296</f>
        <v>4313.94208</v>
      </c>
      <c r="J295" s="99">
        <f t="shared" si="14"/>
        <v>97.7822577391412</v>
      </c>
    </row>
    <row r="296" spans="1:10" ht="47.25">
      <c r="A296" s="20" t="s">
        <v>290</v>
      </c>
      <c r="B296" s="21" t="s">
        <v>57</v>
      </c>
      <c r="C296" s="21" t="s">
        <v>26</v>
      </c>
      <c r="D296" s="21" t="s">
        <v>8</v>
      </c>
      <c r="E296" s="21" t="s">
        <v>261</v>
      </c>
      <c r="F296" s="21"/>
      <c r="G296" s="15"/>
      <c r="H296" s="98">
        <f>H297</f>
        <v>4411.78408</v>
      </c>
      <c r="I296" s="98">
        <f>I297</f>
        <v>4313.94208</v>
      </c>
      <c r="J296" s="99">
        <f t="shared" si="14"/>
        <v>97.7822577391412</v>
      </c>
    </row>
    <row r="297" spans="1:10" ht="31.5">
      <c r="A297" s="20" t="s">
        <v>354</v>
      </c>
      <c r="B297" s="21" t="s">
        <v>57</v>
      </c>
      <c r="C297" s="21" t="s">
        <v>26</v>
      </c>
      <c r="D297" s="21" t="s">
        <v>8</v>
      </c>
      <c r="E297" s="21" t="s">
        <v>355</v>
      </c>
      <c r="F297" s="21"/>
      <c r="G297" s="15"/>
      <c r="H297" s="98">
        <f>H303+H298+H300</f>
        <v>4411.78408</v>
      </c>
      <c r="I297" s="98">
        <f>I303+I298+I300</f>
        <v>4313.94208</v>
      </c>
      <c r="J297" s="99">
        <f t="shared" si="14"/>
        <v>97.7822577391412</v>
      </c>
    </row>
    <row r="298" spans="1:10" ht="47.25">
      <c r="A298" s="20" t="s">
        <v>356</v>
      </c>
      <c r="B298" s="21" t="s">
        <v>57</v>
      </c>
      <c r="C298" s="21" t="s">
        <v>26</v>
      </c>
      <c r="D298" s="21" t="s">
        <v>8</v>
      </c>
      <c r="E298" s="21" t="s">
        <v>357</v>
      </c>
      <c r="F298" s="21"/>
      <c r="G298" s="15"/>
      <c r="H298" s="98">
        <f>H299</f>
        <v>136</v>
      </c>
      <c r="I298" s="98">
        <f>I299</f>
        <v>136</v>
      </c>
      <c r="J298" s="99">
        <f t="shared" si="14"/>
        <v>100</v>
      </c>
    </row>
    <row r="299" spans="1:10" ht="31.5">
      <c r="A299" s="20" t="s">
        <v>124</v>
      </c>
      <c r="B299" s="21" t="s">
        <v>57</v>
      </c>
      <c r="C299" s="21" t="s">
        <v>26</v>
      </c>
      <c r="D299" s="21" t="s">
        <v>8</v>
      </c>
      <c r="E299" s="21" t="s">
        <v>357</v>
      </c>
      <c r="F299" s="21" t="s">
        <v>123</v>
      </c>
      <c r="G299" s="15"/>
      <c r="H299" s="98">
        <v>136</v>
      </c>
      <c r="I299" s="98">
        <v>136</v>
      </c>
      <c r="J299" s="99">
        <f t="shared" si="14"/>
        <v>100</v>
      </c>
    </row>
    <row r="300" spans="1:10" ht="15.75">
      <c r="A300" s="20" t="s">
        <v>375</v>
      </c>
      <c r="B300" s="21" t="s">
        <v>57</v>
      </c>
      <c r="C300" s="21" t="s">
        <v>26</v>
      </c>
      <c r="D300" s="21" t="s">
        <v>8</v>
      </c>
      <c r="E300" s="21" t="s">
        <v>376</v>
      </c>
      <c r="F300" s="21"/>
      <c r="G300" s="15"/>
      <c r="H300" s="98">
        <f>H301+H302</f>
        <v>876.84014</v>
      </c>
      <c r="I300" s="98">
        <f>I301+I302</f>
        <v>778.99814</v>
      </c>
      <c r="J300" s="99">
        <f t="shared" si="14"/>
        <v>88.8415236099935</v>
      </c>
    </row>
    <row r="301" spans="1:10" ht="31.5">
      <c r="A301" s="20" t="s">
        <v>124</v>
      </c>
      <c r="B301" s="21" t="s">
        <v>57</v>
      </c>
      <c r="C301" s="21" t="s">
        <v>26</v>
      </c>
      <c r="D301" s="21" t="s">
        <v>8</v>
      </c>
      <c r="E301" s="21" t="s">
        <v>376</v>
      </c>
      <c r="F301" s="21" t="s">
        <v>123</v>
      </c>
      <c r="G301" s="15"/>
      <c r="H301" s="98">
        <v>726.90414</v>
      </c>
      <c r="I301" s="98">
        <v>629.06214</v>
      </c>
      <c r="J301" s="99">
        <f t="shared" si="14"/>
        <v>86.5399033220529</v>
      </c>
    </row>
    <row r="302" spans="1:10" ht="15.75">
      <c r="A302" s="20" t="s">
        <v>140</v>
      </c>
      <c r="B302" s="21" t="s">
        <v>57</v>
      </c>
      <c r="C302" s="21" t="s">
        <v>26</v>
      </c>
      <c r="D302" s="21" t="s">
        <v>8</v>
      </c>
      <c r="E302" s="21" t="s">
        <v>376</v>
      </c>
      <c r="F302" s="21" t="s">
        <v>90</v>
      </c>
      <c r="G302" s="15"/>
      <c r="H302" s="98">
        <v>149.936</v>
      </c>
      <c r="I302" s="98">
        <v>149.936</v>
      </c>
      <c r="J302" s="99">
        <f t="shared" si="14"/>
        <v>100</v>
      </c>
    </row>
    <row r="303" spans="1:10" ht="31.5">
      <c r="A303" s="20" t="s">
        <v>377</v>
      </c>
      <c r="B303" s="21" t="s">
        <v>57</v>
      </c>
      <c r="C303" s="21" t="s">
        <v>26</v>
      </c>
      <c r="D303" s="21" t="s">
        <v>8</v>
      </c>
      <c r="E303" s="21" t="s">
        <v>378</v>
      </c>
      <c r="F303" s="21"/>
      <c r="G303" s="15"/>
      <c r="H303" s="98">
        <f>H304+H305</f>
        <v>3398.94394</v>
      </c>
      <c r="I303" s="98">
        <f>I304+I305</f>
        <v>3398.94394</v>
      </c>
      <c r="J303" s="99">
        <f t="shared" si="14"/>
        <v>100</v>
      </c>
    </row>
    <row r="304" spans="1:10" ht="31.5">
      <c r="A304" s="20" t="s">
        <v>145</v>
      </c>
      <c r="B304" s="21" t="s">
        <v>57</v>
      </c>
      <c r="C304" s="21" t="s">
        <v>26</v>
      </c>
      <c r="D304" s="21" t="s">
        <v>8</v>
      </c>
      <c r="E304" s="21" t="s">
        <v>378</v>
      </c>
      <c r="F304" s="21" t="s">
        <v>146</v>
      </c>
      <c r="G304" s="15"/>
      <c r="H304" s="98">
        <v>3207.94445</v>
      </c>
      <c r="I304" s="98">
        <v>3207.94445</v>
      </c>
      <c r="J304" s="99">
        <f t="shared" si="14"/>
        <v>100</v>
      </c>
    </row>
    <row r="305" spans="1:10" ht="63">
      <c r="A305" s="20" t="s">
        <v>135</v>
      </c>
      <c r="B305" s="21" t="s">
        <v>57</v>
      </c>
      <c r="C305" s="21" t="s">
        <v>26</v>
      </c>
      <c r="D305" s="21" t="s">
        <v>8</v>
      </c>
      <c r="E305" s="21" t="s">
        <v>378</v>
      </c>
      <c r="F305" s="21" t="s">
        <v>134</v>
      </c>
      <c r="G305" s="15"/>
      <c r="H305" s="98">
        <f>154.18849+36.811</f>
        <v>190.99949</v>
      </c>
      <c r="I305" s="98">
        <f>154.18849+36.811</f>
        <v>190.99949</v>
      </c>
      <c r="J305" s="99">
        <f t="shared" si="14"/>
        <v>100</v>
      </c>
    </row>
    <row r="306" spans="1:10" ht="15.75">
      <c r="A306" s="20" t="s">
        <v>28</v>
      </c>
      <c r="B306" s="21" t="s">
        <v>57</v>
      </c>
      <c r="C306" s="21" t="s">
        <v>26</v>
      </c>
      <c r="D306" s="21" t="s">
        <v>18</v>
      </c>
      <c r="E306" s="21"/>
      <c r="F306" s="21"/>
      <c r="G306" s="15" t="e">
        <f>#REF!+#REF!+#REF!</f>
        <v>#REF!</v>
      </c>
      <c r="H306" s="98">
        <f>+H326+H307</f>
        <v>23149.95478</v>
      </c>
      <c r="I306" s="98">
        <f>+I326+I307</f>
        <v>22945.99019</v>
      </c>
      <c r="J306" s="99">
        <f t="shared" si="14"/>
        <v>99.11894173471038</v>
      </c>
    </row>
    <row r="307" spans="1:10" ht="47.25">
      <c r="A307" s="20" t="s">
        <v>379</v>
      </c>
      <c r="B307" s="21" t="s">
        <v>57</v>
      </c>
      <c r="C307" s="21" t="s">
        <v>26</v>
      </c>
      <c r="D307" s="21" t="s">
        <v>18</v>
      </c>
      <c r="E307" s="21" t="s">
        <v>380</v>
      </c>
      <c r="F307" s="21"/>
      <c r="G307" s="15"/>
      <c r="H307" s="98">
        <f>H308</f>
        <v>10220.602</v>
      </c>
      <c r="I307" s="98">
        <f>I308</f>
        <v>10088.92641</v>
      </c>
      <c r="J307" s="99">
        <f t="shared" si="14"/>
        <v>98.71166502716767</v>
      </c>
    </row>
    <row r="308" spans="1:10" ht="31.5">
      <c r="A308" s="20" t="s">
        <v>381</v>
      </c>
      <c r="B308" s="21" t="s">
        <v>57</v>
      </c>
      <c r="C308" s="21" t="s">
        <v>26</v>
      </c>
      <c r="D308" s="21" t="s">
        <v>18</v>
      </c>
      <c r="E308" s="21" t="s">
        <v>382</v>
      </c>
      <c r="F308" s="21"/>
      <c r="G308" s="15"/>
      <c r="H308" s="98">
        <f>H309+H311+H313+H315+H318+H320+H324+H322</f>
        <v>10220.602</v>
      </c>
      <c r="I308" s="98">
        <f>I309+I311+I313+I315+I318+I320+I324+I322</f>
        <v>10088.92641</v>
      </c>
      <c r="J308" s="99">
        <f t="shared" si="14"/>
        <v>98.71166502716767</v>
      </c>
    </row>
    <row r="309" spans="1:10" ht="63">
      <c r="A309" s="20" t="s">
        <v>383</v>
      </c>
      <c r="B309" s="21" t="s">
        <v>57</v>
      </c>
      <c r="C309" s="21" t="s">
        <v>26</v>
      </c>
      <c r="D309" s="21" t="s">
        <v>18</v>
      </c>
      <c r="E309" s="21" t="s">
        <v>384</v>
      </c>
      <c r="F309" s="21"/>
      <c r="G309" s="15"/>
      <c r="H309" s="98">
        <f>H310</f>
        <v>6367.583</v>
      </c>
      <c r="I309" s="98">
        <f>I310</f>
        <v>6367.493</v>
      </c>
      <c r="J309" s="99">
        <f t="shared" si="14"/>
        <v>99.99858659086188</v>
      </c>
    </row>
    <row r="310" spans="1:10" ht="47.25">
      <c r="A310" s="20" t="s">
        <v>114</v>
      </c>
      <c r="B310" s="21" t="s">
        <v>57</v>
      </c>
      <c r="C310" s="21" t="s">
        <v>26</v>
      </c>
      <c r="D310" s="21" t="s">
        <v>18</v>
      </c>
      <c r="E310" s="21" t="s">
        <v>384</v>
      </c>
      <c r="F310" s="21" t="s">
        <v>101</v>
      </c>
      <c r="G310" s="15"/>
      <c r="H310" s="98">
        <v>6367.583</v>
      </c>
      <c r="I310" s="98">
        <v>6367.493</v>
      </c>
      <c r="J310" s="99">
        <f t="shared" si="14"/>
        <v>99.99858659086188</v>
      </c>
    </row>
    <row r="311" spans="1:10" ht="63">
      <c r="A311" s="20" t="s">
        <v>385</v>
      </c>
      <c r="B311" s="21" t="s">
        <v>57</v>
      </c>
      <c r="C311" s="21" t="s">
        <v>26</v>
      </c>
      <c r="D311" s="21" t="s">
        <v>18</v>
      </c>
      <c r="E311" s="21" t="s">
        <v>386</v>
      </c>
      <c r="F311" s="21"/>
      <c r="G311" s="15"/>
      <c r="H311" s="98">
        <f>H312</f>
        <v>1302</v>
      </c>
      <c r="I311" s="98">
        <f>I312</f>
        <v>1174.91511</v>
      </c>
      <c r="J311" s="99">
        <f t="shared" si="14"/>
        <v>90.23925576036865</v>
      </c>
    </row>
    <row r="312" spans="1:10" ht="47.25">
      <c r="A312" s="20" t="s">
        <v>114</v>
      </c>
      <c r="B312" s="21" t="s">
        <v>57</v>
      </c>
      <c r="C312" s="21" t="s">
        <v>26</v>
      </c>
      <c r="D312" s="21" t="s">
        <v>18</v>
      </c>
      <c r="E312" s="21" t="s">
        <v>386</v>
      </c>
      <c r="F312" s="21" t="s">
        <v>101</v>
      </c>
      <c r="G312" s="15"/>
      <c r="H312" s="98">
        <v>1302</v>
      </c>
      <c r="I312" s="98">
        <v>1174.91511</v>
      </c>
      <c r="J312" s="99">
        <f aca="true" t="shared" si="15" ref="J312:J375">I312/H312*100</f>
        <v>90.23925576036865</v>
      </c>
    </row>
    <row r="313" spans="1:10" ht="63">
      <c r="A313" s="20" t="s">
        <v>387</v>
      </c>
      <c r="B313" s="21" t="s">
        <v>57</v>
      </c>
      <c r="C313" s="21" t="s">
        <v>26</v>
      </c>
      <c r="D313" s="21" t="s">
        <v>18</v>
      </c>
      <c r="E313" s="21" t="s">
        <v>388</v>
      </c>
      <c r="F313" s="21"/>
      <c r="G313" s="15"/>
      <c r="H313" s="98">
        <f>H314</f>
        <v>242.47129999999999</v>
      </c>
      <c r="I313" s="98">
        <f>I314</f>
        <v>242.4713</v>
      </c>
      <c r="J313" s="99">
        <f t="shared" si="15"/>
        <v>100.00000000000003</v>
      </c>
    </row>
    <row r="314" spans="1:10" ht="47.25">
      <c r="A314" s="20" t="s">
        <v>114</v>
      </c>
      <c r="B314" s="21" t="s">
        <v>57</v>
      </c>
      <c r="C314" s="21" t="s">
        <v>26</v>
      </c>
      <c r="D314" s="21" t="s">
        <v>18</v>
      </c>
      <c r="E314" s="21" t="s">
        <v>388</v>
      </c>
      <c r="F314" s="21" t="s">
        <v>101</v>
      </c>
      <c r="G314" s="15"/>
      <c r="H314" s="98">
        <f>120+122.4713</f>
        <v>242.47129999999999</v>
      </c>
      <c r="I314" s="98">
        <v>242.4713</v>
      </c>
      <c r="J314" s="99">
        <f t="shared" si="15"/>
        <v>100.00000000000003</v>
      </c>
    </row>
    <row r="315" spans="1:10" ht="63">
      <c r="A315" s="20" t="s">
        <v>389</v>
      </c>
      <c r="B315" s="21" t="s">
        <v>57</v>
      </c>
      <c r="C315" s="21" t="s">
        <v>26</v>
      </c>
      <c r="D315" s="21" t="s">
        <v>18</v>
      </c>
      <c r="E315" s="21" t="s">
        <v>390</v>
      </c>
      <c r="F315" s="21"/>
      <c r="G315" s="15"/>
      <c r="H315" s="98">
        <f>H316+H317</f>
        <v>2276.7777</v>
      </c>
      <c r="I315" s="98">
        <f>I316+I317</f>
        <v>2274.777</v>
      </c>
      <c r="J315" s="99">
        <f t="shared" si="15"/>
        <v>99.9121258083299</v>
      </c>
    </row>
    <row r="316" spans="1:10" ht="47.25">
      <c r="A316" s="20" t="s">
        <v>114</v>
      </c>
      <c r="B316" s="21" t="s">
        <v>57</v>
      </c>
      <c r="C316" s="21" t="s">
        <v>26</v>
      </c>
      <c r="D316" s="21" t="s">
        <v>18</v>
      </c>
      <c r="E316" s="21" t="s">
        <v>390</v>
      </c>
      <c r="F316" s="21" t="s">
        <v>101</v>
      </c>
      <c r="G316" s="15"/>
      <c r="H316" s="98">
        <f>2041.5-112.7413</f>
        <v>1928.7587</v>
      </c>
      <c r="I316" s="98">
        <v>1926.758</v>
      </c>
      <c r="J316" s="99">
        <f t="shared" si="15"/>
        <v>99.89627007256013</v>
      </c>
    </row>
    <row r="317" spans="1:10" ht="15.75">
      <c r="A317" s="20" t="s">
        <v>116</v>
      </c>
      <c r="B317" s="21" t="s">
        <v>57</v>
      </c>
      <c r="C317" s="21" t="s">
        <v>26</v>
      </c>
      <c r="D317" s="21" t="s">
        <v>18</v>
      </c>
      <c r="E317" s="21" t="s">
        <v>390</v>
      </c>
      <c r="F317" s="21" t="s">
        <v>115</v>
      </c>
      <c r="G317" s="15"/>
      <c r="H317" s="98">
        <f>200+123.84+24.179</f>
        <v>348.019</v>
      </c>
      <c r="I317" s="98">
        <f>200+123.84+24.179</f>
        <v>348.019</v>
      </c>
      <c r="J317" s="99">
        <f t="shared" si="15"/>
        <v>100</v>
      </c>
    </row>
    <row r="318" spans="1:10" ht="63">
      <c r="A318" s="20" t="s">
        <v>391</v>
      </c>
      <c r="B318" s="21" t="s">
        <v>57</v>
      </c>
      <c r="C318" s="21" t="s">
        <v>26</v>
      </c>
      <c r="D318" s="21" t="s">
        <v>18</v>
      </c>
      <c r="E318" s="21" t="s">
        <v>392</v>
      </c>
      <c r="F318" s="21"/>
      <c r="G318" s="15"/>
      <c r="H318" s="98">
        <f>H319</f>
        <v>14</v>
      </c>
      <c r="I318" s="98">
        <f>I319</f>
        <v>14</v>
      </c>
      <c r="J318" s="99">
        <f t="shared" si="15"/>
        <v>100</v>
      </c>
    </row>
    <row r="319" spans="1:10" ht="47.25">
      <c r="A319" s="20" t="s">
        <v>114</v>
      </c>
      <c r="B319" s="21" t="s">
        <v>57</v>
      </c>
      <c r="C319" s="21" t="s">
        <v>26</v>
      </c>
      <c r="D319" s="21" t="s">
        <v>18</v>
      </c>
      <c r="E319" s="21" t="s">
        <v>392</v>
      </c>
      <c r="F319" s="21" t="s">
        <v>101</v>
      </c>
      <c r="G319" s="15"/>
      <c r="H319" s="98">
        <v>14</v>
      </c>
      <c r="I319" s="98">
        <v>14</v>
      </c>
      <c r="J319" s="99">
        <f t="shared" si="15"/>
        <v>100</v>
      </c>
    </row>
    <row r="320" spans="1:10" ht="63" hidden="1">
      <c r="A320" s="20" t="s">
        <v>393</v>
      </c>
      <c r="B320" s="21" t="s">
        <v>57</v>
      </c>
      <c r="C320" s="21" t="s">
        <v>26</v>
      </c>
      <c r="D320" s="21" t="s">
        <v>18</v>
      </c>
      <c r="E320" s="21" t="s">
        <v>394</v>
      </c>
      <c r="F320" s="21"/>
      <c r="G320" s="15"/>
      <c r="H320" s="98">
        <f>H321</f>
        <v>0</v>
      </c>
      <c r="I320" s="98">
        <f>I321</f>
        <v>0</v>
      </c>
      <c r="J320" s="99" t="e">
        <f t="shared" si="15"/>
        <v>#DIV/0!</v>
      </c>
    </row>
    <row r="321" spans="1:10" ht="47.25" hidden="1">
      <c r="A321" s="20" t="s">
        <v>114</v>
      </c>
      <c r="B321" s="21" t="s">
        <v>57</v>
      </c>
      <c r="C321" s="21" t="s">
        <v>26</v>
      </c>
      <c r="D321" s="21" t="s">
        <v>18</v>
      </c>
      <c r="E321" s="21" t="s">
        <v>394</v>
      </c>
      <c r="F321" s="21" t="s">
        <v>101</v>
      </c>
      <c r="G321" s="15"/>
      <c r="H321" s="98"/>
      <c r="I321" s="98"/>
      <c r="J321" s="99" t="e">
        <f t="shared" si="15"/>
        <v>#DIV/0!</v>
      </c>
    </row>
    <row r="322" spans="1:10" ht="47.25">
      <c r="A322" s="20" t="s">
        <v>395</v>
      </c>
      <c r="B322" s="21" t="s">
        <v>57</v>
      </c>
      <c r="C322" s="21" t="s">
        <v>26</v>
      </c>
      <c r="D322" s="21" t="s">
        <v>18</v>
      </c>
      <c r="E322" s="21" t="s">
        <v>396</v>
      </c>
      <c r="F322" s="21"/>
      <c r="G322" s="15"/>
      <c r="H322" s="98">
        <f>H323</f>
        <v>2.5</v>
      </c>
      <c r="I322" s="98">
        <f>I323</f>
        <v>0</v>
      </c>
      <c r="J322" s="99">
        <f t="shared" si="15"/>
        <v>0</v>
      </c>
    </row>
    <row r="323" spans="1:10" ht="47.25">
      <c r="A323" s="20" t="s">
        <v>114</v>
      </c>
      <c r="B323" s="21" t="s">
        <v>57</v>
      </c>
      <c r="C323" s="21" t="s">
        <v>26</v>
      </c>
      <c r="D323" s="21" t="s">
        <v>18</v>
      </c>
      <c r="E323" s="21" t="s">
        <v>396</v>
      </c>
      <c r="F323" s="21" t="s">
        <v>101</v>
      </c>
      <c r="G323" s="15"/>
      <c r="H323" s="98">
        <v>2.5</v>
      </c>
      <c r="I323" s="98"/>
      <c r="J323" s="99">
        <f t="shared" si="15"/>
        <v>0</v>
      </c>
    </row>
    <row r="324" spans="1:10" ht="63">
      <c r="A324" s="20" t="s">
        <v>397</v>
      </c>
      <c r="B324" s="21" t="s">
        <v>57</v>
      </c>
      <c r="C324" s="21" t="s">
        <v>26</v>
      </c>
      <c r="D324" s="21" t="s">
        <v>18</v>
      </c>
      <c r="E324" s="21" t="s">
        <v>398</v>
      </c>
      <c r="F324" s="21"/>
      <c r="G324" s="15"/>
      <c r="H324" s="98">
        <f>H325</f>
        <v>15.27</v>
      </c>
      <c r="I324" s="98">
        <f>I325</f>
        <v>15.27</v>
      </c>
      <c r="J324" s="99">
        <f t="shared" si="15"/>
        <v>100</v>
      </c>
    </row>
    <row r="325" spans="1:10" ht="47.25">
      <c r="A325" s="20" t="s">
        <v>114</v>
      </c>
      <c r="B325" s="21" t="s">
        <v>57</v>
      </c>
      <c r="C325" s="21" t="s">
        <v>26</v>
      </c>
      <c r="D325" s="21" t="s">
        <v>18</v>
      </c>
      <c r="E325" s="21" t="s">
        <v>398</v>
      </c>
      <c r="F325" s="21" t="s">
        <v>101</v>
      </c>
      <c r="G325" s="15"/>
      <c r="H325" s="98">
        <f>25-9.73</f>
        <v>15.27</v>
      </c>
      <c r="I325" s="98">
        <f>25-9.73</f>
        <v>15.27</v>
      </c>
      <c r="J325" s="99">
        <f t="shared" si="15"/>
        <v>100</v>
      </c>
    </row>
    <row r="326" spans="1:10" ht="78.75">
      <c r="A326" s="20" t="s">
        <v>258</v>
      </c>
      <c r="B326" s="21" t="s">
        <v>57</v>
      </c>
      <c r="C326" s="21" t="s">
        <v>26</v>
      </c>
      <c r="D326" s="21" t="s">
        <v>18</v>
      </c>
      <c r="E326" s="21" t="s">
        <v>259</v>
      </c>
      <c r="F326" s="21"/>
      <c r="G326" s="15" t="e">
        <f>#REF!+#REF!+#REF!</f>
        <v>#REF!</v>
      </c>
      <c r="H326" s="98">
        <f aca="true" t="shared" si="16" ref="H326:I331">H327</f>
        <v>12929.35278</v>
      </c>
      <c r="I326" s="98">
        <f t="shared" si="16"/>
        <v>12857.06378</v>
      </c>
      <c r="J326" s="99">
        <f t="shared" si="15"/>
        <v>99.44089235377798</v>
      </c>
    </row>
    <row r="327" spans="1:10" ht="47.25">
      <c r="A327" s="20" t="s">
        <v>290</v>
      </c>
      <c r="B327" s="21" t="s">
        <v>57</v>
      </c>
      <c r="C327" s="21" t="s">
        <v>26</v>
      </c>
      <c r="D327" s="21" t="s">
        <v>18</v>
      </c>
      <c r="E327" s="21" t="s">
        <v>261</v>
      </c>
      <c r="F327" s="21"/>
      <c r="G327" s="15" t="e">
        <f>#REF!+#REF!+#REF!</f>
        <v>#REF!</v>
      </c>
      <c r="H327" s="98">
        <f t="shared" si="16"/>
        <v>12929.35278</v>
      </c>
      <c r="I327" s="98">
        <f t="shared" si="16"/>
        <v>12857.06378</v>
      </c>
      <c r="J327" s="99">
        <f t="shared" si="15"/>
        <v>99.44089235377798</v>
      </c>
    </row>
    <row r="328" spans="1:10" ht="31.5">
      <c r="A328" s="20" t="s">
        <v>354</v>
      </c>
      <c r="B328" s="21" t="s">
        <v>57</v>
      </c>
      <c r="C328" s="21" t="s">
        <v>26</v>
      </c>
      <c r="D328" s="21" t="s">
        <v>18</v>
      </c>
      <c r="E328" s="21" t="s">
        <v>355</v>
      </c>
      <c r="F328" s="21"/>
      <c r="G328" s="15"/>
      <c r="H328" s="98">
        <f>H331+H329</f>
        <v>12929.35278</v>
      </c>
      <c r="I328" s="98">
        <f>I331+I329</f>
        <v>12857.06378</v>
      </c>
      <c r="J328" s="99">
        <f t="shared" si="15"/>
        <v>99.44089235377798</v>
      </c>
    </row>
    <row r="329" spans="1:10" ht="15.75">
      <c r="A329" s="20" t="s">
        <v>375</v>
      </c>
      <c r="B329" s="21" t="s">
        <v>57</v>
      </c>
      <c r="C329" s="21" t="s">
        <v>26</v>
      </c>
      <c r="D329" s="21" t="s">
        <v>18</v>
      </c>
      <c r="E329" s="21" t="s">
        <v>376</v>
      </c>
      <c r="F329" s="21"/>
      <c r="G329" s="15"/>
      <c r="H329" s="98">
        <f>H330</f>
        <v>12929.35278</v>
      </c>
      <c r="I329" s="98">
        <f>I330</f>
        <v>12857.06378</v>
      </c>
      <c r="J329" s="99">
        <f t="shared" si="15"/>
        <v>99.44089235377798</v>
      </c>
    </row>
    <row r="330" spans="1:10" ht="31.5">
      <c r="A330" s="20" t="s">
        <v>124</v>
      </c>
      <c r="B330" s="21" t="s">
        <v>57</v>
      </c>
      <c r="C330" s="21" t="s">
        <v>26</v>
      </c>
      <c r="D330" s="21" t="s">
        <v>18</v>
      </c>
      <c r="E330" s="21" t="s">
        <v>376</v>
      </c>
      <c r="F330" s="21" t="s">
        <v>123</v>
      </c>
      <c r="G330" s="15"/>
      <c r="H330" s="98">
        <v>12929.35278</v>
      </c>
      <c r="I330" s="98">
        <v>12857.06378</v>
      </c>
      <c r="J330" s="99">
        <f t="shared" si="15"/>
        <v>99.44089235377798</v>
      </c>
    </row>
    <row r="331" spans="1:10" ht="31.5" hidden="1">
      <c r="A331" s="20" t="s">
        <v>377</v>
      </c>
      <c r="B331" s="21" t="s">
        <v>57</v>
      </c>
      <c r="C331" s="21" t="s">
        <v>26</v>
      </c>
      <c r="D331" s="21" t="s">
        <v>18</v>
      </c>
      <c r="E331" s="21" t="s">
        <v>378</v>
      </c>
      <c r="F331" s="21"/>
      <c r="G331" s="15"/>
      <c r="H331" s="98">
        <f t="shared" si="16"/>
        <v>0</v>
      </c>
      <c r="I331" s="98">
        <f t="shared" si="16"/>
        <v>0</v>
      </c>
      <c r="J331" s="99" t="e">
        <f t="shared" si="15"/>
        <v>#DIV/0!</v>
      </c>
    </row>
    <row r="332" spans="1:10" ht="31.5" hidden="1">
      <c r="A332" s="20" t="s">
        <v>145</v>
      </c>
      <c r="B332" s="21" t="s">
        <v>57</v>
      </c>
      <c r="C332" s="21" t="s">
        <v>26</v>
      </c>
      <c r="D332" s="21" t="s">
        <v>18</v>
      </c>
      <c r="E332" s="21" t="s">
        <v>378</v>
      </c>
      <c r="F332" s="21" t="s">
        <v>146</v>
      </c>
      <c r="G332" s="15"/>
      <c r="H332" s="98"/>
      <c r="I332" s="98"/>
      <c r="J332" s="99" t="e">
        <f t="shared" si="15"/>
        <v>#DIV/0!</v>
      </c>
    </row>
    <row r="333" spans="1:10" ht="15.75">
      <c r="A333" s="20" t="s">
        <v>29</v>
      </c>
      <c r="B333" s="21" t="s">
        <v>57</v>
      </c>
      <c r="C333" s="21" t="s">
        <v>26</v>
      </c>
      <c r="D333" s="21" t="s">
        <v>26</v>
      </c>
      <c r="E333" s="21"/>
      <c r="F333" s="21"/>
      <c r="G333" s="15" t="e">
        <f>#REF!+#REF!+#REF!</f>
        <v>#REF!</v>
      </c>
      <c r="H333" s="98">
        <f>H334</f>
        <v>4350.004</v>
      </c>
      <c r="I333" s="98">
        <f>I334</f>
        <v>4202.25007</v>
      </c>
      <c r="J333" s="99">
        <f t="shared" si="15"/>
        <v>96.60336105438064</v>
      </c>
    </row>
    <row r="334" spans="1:10" s="12" customFormat="1" ht="47.25">
      <c r="A334" s="20" t="s">
        <v>399</v>
      </c>
      <c r="B334" s="21" t="s">
        <v>57</v>
      </c>
      <c r="C334" s="21" t="s">
        <v>26</v>
      </c>
      <c r="D334" s="21" t="s">
        <v>26</v>
      </c>
      <c r="E334" s="21" t="s">
        <v>400</v>
      </c>
      <c r="F334" s="21"/>
      <c r="G334" s="15"/>
      <c r="H334" s="98">
        <f>H335+H345</f>
        <v>4350.004</v>
      </c>
      <c r="I334" s="98">
        <f>I335+I345</f>
        <v>4202.25007</v>
      </c>
      <c r="J334" s="99">
        <f t="shared" si="15"/>
        <v>96.60336105438064</v>
      </c>
    </row>
    <row r="335" spans="1:10" s="12" customFormat="1" ht="31.5">
      <c r="A335" s="20" t="s">
        <v>401</v>
      </c>
      <c r="B335" s="21" t="s">
        <v>57</v>
      </c>
      <c r="C335" s="21" t="s">
        <v>26</v>
      </c>
      <c r="D335" s="21" t="s">
        <v>26</v>
      </c>
      <c r="E335" s="21" t="s">
        <v>402</v>
      </c>
      <c r="F335" s="21"/>
      <c r="G335" s="15"/>
      <c r="H335" s="98">
        <f>H336</f>
        <v>375.916</v>
      </c>
      <c r="I335" s="98">
        <f>I336</f>
        <v>375.123</v>
      </c>
      <c r="J335" s="99">
        <f t="shared" si="15"/>
        <v>99.78904861724428</v>
      </c>
    </row>
    <row r="336" spans="1:10" s="12" customFormat="1" ht="31.5">
      <c r="A336" s="20" t="s">
        <v>403</v>
      </c>
      <c r="B336" s="21" t="s">
        <v>57</v>
      </c>
      <c r="C336" s="21" t="s">
        <v>26</v>
      </c>
      <c r="D336" s="21" t="s">
        <v>26</v>
      </c>
      <c r="E336" s="21" t="s">
        <v>404</v>
      </c>
      <c r="F336" s="21"/>
      <c r="G336" s="15"/>
      <c r="H336" s="98">
        <f>H337+H340+H343+H344</f>
        <v>375.916</v>
      </c>
      <c r="I336" s="98">
        <f>I337+I340+I343+I344</f>
        <v>375.123</v>
      </c>
      <c r="J336" s="99">
        <f t="shared" si="15"/>
        <v>99.78904861724428</v>
      </c>
    </row>
    <row r="337" spans="1:10" s="12" customFormat="1" ht="15.75" hidden="1">
      <c r="A337" s="20" t="s">
        <v>82</v>
      </c>
      <c r="B337" s="21" t="s">
        <v>57</v>
      </c>
      <c r="C337" s="21" t="s">
        <v>26</v>
      </c>
      <c r="D337" s="21" t="s">
        <v>26</v>
      </c>
      <c r="E337" s="21" t="s">
        <v>404</v>
      </c>
      <c r="F337" s="21" t="s">
        <v>81</v>
      </c>
      <c r="G337" s="15"/>
      <c r="H337" s="98">
        <f>H338+H339</f>
        <v>0</v>
      </c>
      <c r="I337" s="98">
        <f>I338+I339</f>
        <v>0</v>
      </c>
      <c r="J337" s="99" t="e">
        <f t="shared" si="15"/>
        <v>#DIV/0!</v>
      </c>
    </row>
    <row r="338" spans="1:10" s="12" customFormat="1" ht="15.75" hidden="1">
      <c r="A338" s="20" t="s">
        <v>191</v>
      </c>
      <c r="B338" s="21" t="s">
        <v>57</v>
      </c>
      <c r="C338" s="21" t="s">
        <v>26</v>
      </c>
      <c r="D338" s="21" t="s">
        <v>26</v>
      </c>
      <c r="E338" s="21" t="s">
        <v>404</v>
      </c>
      <c r="F338" s="21" t="s">
        <v>83</v>
      </c>
      <c r="G338" s="15"/>
      <c r="H338" s="98"/>
      <c r="I338" s="98"/>
      <c r="J338" s="99" t="e">
        <f t="shared" si="15"/>
        <v>#DIV/0!</v>
      </c>
    </row>
    <row r="339" spans="1:10" s="12" customFormat="1" ht="31.5" hidden="1">
      <c r="A339" s="20" t="s">
        <v>192</v>
      </c>
      <c r="B339" s="21" t="s">
        <v>57</v>
      </c>
      <c r="C339" s="21" t="s">
        <v>26</v>
      </c>
      <c r="D339" s="21" t="s">
        <v>26</v>
      </c>
      <c r="E339" s="21" t="s">
        <v>404</v>
      </c>
      <c r="F339" s="21" t="s">
        <v>193</v>
      </c>
      <c r="G339" s="15"/>
      <c r="H339" s="98"/>
      <c r="I339" s="98"/>
      <c r="J339" s="99" t="e">
        <f t="shared" si="15"/>
        <v>#DIV/0!</v>
      </c>
    </row>
    <row r="340" spans="1:10" s="12" customFormat="1" ht="15.75">
      <c r="A340" s="20" t="s">
        <v>88</v>
      </c>
      <c r="B340" s="21" t="s">
        <v>57</v>
      </c>
      <c r="C340" s="21" t="s">
        <v>26</v>
      </c>
      <c r="D340" s="21" t="s">
        <v>26</v>
      </c>
      <c r="E340" s="21" t="s">
        <v>404</v>
      </c>
      <c r="F340" s="21" t="s">
        <v>87</v>
      </c>
      <c r="G340" s="15"/>
      <c r="H340" s="98">
        <f>H341+H342</f>
        <v>170.976</v>
      </c>
      <c r="I340" s="98">
        <f>I341+I342</f>
        <v>170.183</v>
      </c>
      <c r="J340" s="99">
        <f t="shared" si="15"/>
        <v>99.53619221411192</v>
      </c>
    </row>
    <row r="341" spans="1:10" s="12" customFormat="1" ht="31.5">
      <c r="A341" s="20" t="s">
        <v>92</v>
      </c>
      <c r="B341" s="21" t="s">
        <v>57</v>
      </c>
      <c r="C341" s="21" t="s">
        <v>26</v>
      </c>
      <c r="D341" s="21" t="s">
        <v>26</v>
      </c>
      <c r="E341" s="21" t="s">
        <v>404</v>
      </c>
      <c r="F341" s="21" t="s">
        <v>89</v>
      </c>
      <c r="G341" s="15"/>
      <c r="H341" s="98">
        <f>2.5-1.084</f>
        <v>1.416</v>
      </c>
      <c r="I341" s="98">
        <f>2.5-1.084</f>
        <v>1.416</v>
      </c>
      <c r="J341" s="99">
        <f t="shared" si="15"/>
        <v>100</v>
      </c>
    </row>
    <row r="342" spans="1:10" s="12" customFormat="1" ht="15.75">
      <c r="A342" s="20" t="s">
        <v>140</v>
      </c>
      <c r="B342" s="21" t="s">
        <v>57</v>
      </c>
      <c r="C342" s="21" t="s">
        <v>26</v>
      </c>
      <c r="D342" s="21" t="s">
        <v>26</v>
      </c>
      <c r="E342" s="21" t="s">
        <v>404</v>
      </c>
      <c r="F342" s="21" t="s">
        <v>90</v>
      </c>
      <c r="G342" s="15"/>
      <c r="H342" s="98">
        <f>246.56-77</f>
        <v>169.56</v>
      </c>
      <c r="I342" s="98">
        <v>168.767</v>
      </c>
      <c r="J342" s="99">
        <f t="shared" si="15"/>
        <v>99.53231894314698</v>
      </c>
    </row>
    <row r="343" spans="1:10" s="12" customFormat="1" ht="15.75">
      <c r="A343" s="20" t="s">
        <v>157</v>
      </c>
      <c r="B343" s="21" t="s">
        <v>57</v>
      </c>
      <c r="C343" s="21" t="s">
        <v>26</v>
      </c>
      <c r="D343" s="21" t="s">
        <v>26</v>
      </c>
      <c r="E343" s="21" t="s">
        <v>404</v>
      </c>
      <c r="F343" s="21" t="s">
        <v>158</v>
      </c>
      <c r="G343" s="15"/>
      <c r="H343" s="98">
        <v>114.94</v>
      </c>
      <c r="I343" s="98">
        <v>114.94</v>
      </c>
      <c r="J343" s="99">
        <f t="shared" si="15"/>
        <v>100</v>
      </c>
    </row>
    <row r="344" spans="1:10" ht="31.5">
      <c r="A344" s="20" t="s">
        <v>267</v>
      </c>
      <c r="B344" s="21" t="s">
        <v>57</v>
      </c>
      <c r="C344" s="21" t="s">
        <v>26</v>
      </c>
      <c r="D344" s="21" t="s">
        <v>26</v>
      </c>
      <c r="E344" s="21" t="s">
        <v>404</v>
      </c>
      <c r="F344" s="21" t="s">
        <v>110</v>
      </c>
      <c r="G344" s="15"/>
      <c r="H344" s="98">
        <v>90</v>
      </c>
      <c r="I344" s="98">
        <v>90</v>
      </c>
      <c r="J344" s="99">
        <f t="shared" si="15"/>
        <v>100</v>
      </c>
    </row>
    <row r="345" spans="1:10" ht="31.5">
      <c r="A345" s="20" t="s">
        <v>405</v>
      </c>
      <c r="B345" s="21" t="s">
        <v>57</v>
      </c>
      <c r="C345" s="21" t="s">
        <v>26</v>
      </c>
      <c r="D345" s="21" t="s">
        <v>26</v>
      </c>
      <c r="E345" s="21" t="s">
        <v>406</v>
      </c>
      <c r="F345" s="21"/>
      <c r="G345" s="15"/>
      <c r="H345" s="98">
        <f>H346+H348+H350+H352</f>
        <v>3974.088</v>
      </c>
      <c r="I345" s="98">
        <f>I346+I348+I350+I352</f>
        <v>3827.1270700000005</v>
      </c>
      <c r="J345" s="99">
        <f t="shared" si="15"/>
        <v>96.30202124361615</v>
      </c>
    </row>
    <row r="346" spans="1:10" ht="47.25">
      <c r="A346" s="20" t="s">
        <v>407</v>
      </c>
      <c r="B346" s="21" t="s">
        <v>57</v>
      </c>
      <c r="C346" s="21" t="s">
        <v>26</v>
      </c>
      <c r="D346" s="21" t="s">
        <v>26</v>
      </c>
      <c r="E346" s="21" t="s">
        <v>408</v>
      </c>
      <c r="F346" s="21"/>
      <c r="G346" s="15"/>
      <c r="H346" s="98">
        <f>H347</f>
        <v>2525.339</v>
      </c>
      <c r="I346" s="98">
        <f>I347</f>
        <v>2514.53276</v>
      </c>
      <c r="J346" s="99">
        <f t="shared" si="15"/>
        <v>99.57208754943396</v>
      </c>
    </row>
    <row r="347" spans="1:10" ht="47.25">
      <c r="A347" s="20" t="s">
        <v>114</v>
      </c>
      <c r="B347" s="21" t="s">
        <v>57</v>
      </c>
      <c r="C347" s="21" t="s">
        <v>26</v>
      </c>
      <c r="D347" s="21" t="s">
        <v>26</v>
      </c>
      <c r="E347" s="21" t="s">
        <v>408</v>
      </c>
      <c r="F347" s="21" t="s">
        <v>101</v>
      </c>
      <c r="G347" s="15"/>
      <c r="H347" s="98">
        <v>2525.339</v>
      </c>
      <c r="I347" s="98">
        <v>2514.53276</v>
      </c>
      <c r="J347" s="99">
        <f t="shared" si="15"/>
        <v>99.57208754943396</v>
      </c>
    </row>
    <row r="348" spans="1:10" ht="31.5">
      <c r="A348" s="20" t="s">
        <v>409</v>
      </c>
      <c r="B348" s="21" t="s">
        <v>57</v>
      </c>
      <c r="C348" s="21" t="s">
        <v>26</v>
      </c>
      <c r="D348" s="21" t="s">
        <v>26</v>
      </c>
      <c r="E348" s="21" t="s">
        <v>410</v>
      </c>
      <c r="F348" s="21"/>
      <c r="G348" s="15"/>
      <c r="H348" s="98">
        <f>H349</f>
        <v>969.188</v>
      </c>
      <c r="I348" s="98">
        <f>I349</f>
        <v>838.88331</v>
      </c>
      <c r="J348" s="99">
        <f t="shared" si="15"/>
        <v>86.55527204216314</v>
      </c>
    </row>
    <row r="349" spans="1:10" ht="47.25">
      <c r="A349" s="20" t="s">
        <v>114</v>
      </c>
      <c r="B349" s="21" t="s">
        <v>57</v>
      </c>
      <c r="C349" s="21" t="s">
        <v>26</v>
      </c>
      <c r="D349" s="21" t="s">
        <v>26</v>
      </c>
      <c r="E349" s="21" t="s">
        <v>410</v>
      </c>
      <c r="F349" s="21" t="s">
        <v>101</v>
      </c>
      <c r="G349" s="15"/>
      <c r="H349" s="98">
        <v>969.188</v>
      </c>
      <c r="I349" s="98">
        <v>838.88331</v>
      </c>
      <c r="J349" s="99">
        <f t="shared" si="15"/>
        <v>86.55527204216314</v>
      </c>
    </row>
    <row r="350" spans="1:10" ht="31.5">
      <c r="A350" s="20" t="s">
        <v>411</v>
      </c>
      <c r="B350" s="21" t="s">
        <v>57</v>
      </c>
      <c r="C350" s="21" t="s">
        <v>26</v>
      </c>
      <c r="D350" s="21" t="s">
        <v>26</v>
      </c>
      <c r="E350" s="21" t="s">
        <v>412</v>
      </c>
      <c r="F350" s="21"/>
      <c r="G350" s="15"/>
      <c r="H350" s="98">
        <f>H351</f>
        <v>70</v>
      </c>
      <c r="I350" s="98">
        <f>I351</f>
        <v>70</v>
      </c>
      <c r="J350" s="99">
        <f t="shared" si="15"/>
        <v>100</v>
      </c>
    </row>
    <row r="351" spans="1:10" ht="47.25">
      <c r="A351" s="20" t="s">
        <v>114</v>
      </c>
      <c r="B351" s="21" t="s">
        <v>57</v>
      </c>
      <c r="C351" s="21" t="s">
        <v>26</v>
      </c>
      <c r="D351" s="21" t="s">
        <v>26</v>
      </c>
      <c r="E351" s="21" t="s">
        <v>412</v>
      </c>
      <c r="F351" s="21" t="s">
        <v>101</v>
      </c>
      <c r="G351" s="15"/>
      <c r="H351" s="98">
        <v>70</v>
      </c>
      <c r="I351" s="98">
        <v>70</v>
      </c>
      <c r="J351" s="99">
        <f t="shared" si="15"/>
        <v>100</v>
      </c>
    </row>
    <row r="352" spans="1:10" s="12" customFormat="1" ht="31.5">
      <c r="A352" s="20" t="s">
        <v>413</v>
      </c>
      <c r="B352" s="21" t="s">
        <v>57</v>
      </c>
      <c r="C352" s="21" t="s">
        <v>26</v>
      </c>
      <c r="D352" s="21" t="s">
        <v>26</v>
      </c>
      <c r="E352" s="21" t="s">
        <v>414</v>
      </c>
      <c r="F352" s="21"/>
      <c r="G352" s="15"/>
      <c r="H352" s="98">
        <f>H353</f>
        <v>409.561</v>
      </c>
      <c r="I352" s="98">
        <f>I353</f>
        <v>403.711</v>
      </c>
      <c r="J352" s="99">
        <f t="shared" si="15"/>
        <v>98.57164134280364</v>
      </c>
    </row>
    <row r="353" spans="1:10" s="12" customFormat="1" ht="47.25">
      <c r="A353" s="20" t="s">
        <v>114</v>
      </c>
      <c r="B353" s="21" t="s">
        <v>57</v>
      </c>
      <c r="C353" s="21" t="s">
        <v>26</v>
      </c>
      <c r="D353" s="21" t="s">
        <v>26</v>
      </c>
      <c r="E353" s="21" t="s">
        <v>414</v>
      </c>
      <c r="F353" s="21" t="s">
        <v>101</v>
      </c>
      <c r="G353" s="15"/>
      <c r="H353" s="98">
        <v>409.561</v>
      </c>
      <c r="I353" s="98">
        <v>403.711</v>
      </c>
      <c r="J353" s="99">
        <f t="shared" si="15"/>
        <v>98.57164134280364</v>
      </c>
    </row>
    <row r="354" spans="1:10" s="12" customFormat="1" ht="15.75">
      <c r="A354" s="20" t="s">
        <v>34</v>
      </c>
      <c r="B354" s="21" t="s">
        <v>57</v>
      </c>
      <c r="C354" s="21" t="s">
        <v>20</v>
      </c>
      <c r="D354" s="21" t="s">
        <v>9</v>
      </c>
      <c r="E354" s="21"/>
      <c r="F354" s="21"/>
      <c r="G354" s="15" t="e">
        <f>#REF!+#REF!+#REF!</f>
        <v>#REF!</v>
      </c>
      <c r="H354" s="98">
        <f>H355+H359+H383</f>
        <v>33583.78982</v>
      </c>
      <c r="I354" s="98">
        <f>I355+I359+I383</f>
        <v>28670.589859999996</v>
      </c>
      <c r="J354" s="99">
        <f t="shared" si="15"/>
        <v>85.37032304473848</v>
      </c>
    </row>
    <row r="355" spans="1:10" s="12" customFormat="1" ht="15.75">
      <c r="A355" s="20" t="s">
        <v>35</v>
      </c>
      <c r="B355" s="21" t="s">
        <v>57</v>
      </c>
      <c r="C355" s="21" t="s">
        <v>20</v>
      </c>
      <c r="D355" s="21" t="s">
        <v>8</v>
      </c>
      <c r="E355" s="21"/>
      <c r="F355" s="21"/>
      <c r="G355" s="15" t="e">
        <f>#REF!+#REF!+#REF!</f>
        <v>#REF!</v>
      </c>
      <c r="H355" s="98">
        <f>H356</f>
        <v>1450</v>
      </c>
      <c r="I355" s="98">
        <f>I356</f>
        <v>1444.58069</v>
      </c>
      <c r="J355" s="99">
        <f t="shared" si="15"/>
        <v>99.62625448275863</v>
      </c>
    </row>
    <row r="356" spans="1:10" s="12" customFormat="1" ht="47.25">
      <c r="A356" s="20" t="s">
        <v>142</v>
      </c>
      <c r="B356" s="21" t="s">
        <v>57</v>
      </c>
      <c r="C356" s="21" t="s">
        <v>20</v>
      </c>
      <c r="D356" s="21" t="s">
        <v>8</v>
      </c>
      <c r="E356" s="21" t="s">
        <v>209</v>
      </c>
      <c r="F356" s="21"/>
      <c r="G356" s="15" t="e">
        <f>#REF!+#REF!+#REF!</f>
        <v>#REF!</v>
      </c>
      <c r="H356" s="98">
        <f>H357</f>
        <v>1450</v>
      </c>
      <c r="I356" s="98">
        <f>I357</f>
        <v>1444.58069</v>
      </c>
      <c r="J356" s="99">
        <f t="shared" si="15"/>
        <v>99.62625448275863</v>
      </c>
    </row>
    <row r="357" spans="1:10" s="12" customFormat="1" ht="15.75">
      <c r="A357" s="20" t="s">
        <v>147</v>
      </c>
      <c r="B357" s="21" t="s">
        <v>57</v>
      </c>
      <c r="C357" s="21" t="s">
        <v>20</v>
      </c>
      <c r="D357" s="21" t="s">
        <v>8</v>
      </c>
      <c r="E357" s="21" t="s">
        <v>415</v>
      </c>
      <c r="F357" s="21"/>
      <c r="G357" s="15" t="e">
        <f>#REF!+#REF!+#REF!</f>
        <v>#REF!</v>
      </c>
      <c r="H357" s="98">
        <f>+H358</f>
        <v>1450</v>
      </c>
      <c r="I357" s="98">
        <f>+I358</f>
        <v>1444.58069</v>
      </c>
      <c r="J357" s="99">
        <f t="shared" si="15"/>
        <v>99.62625448275863</v>
      </c>
    </row>
    <row r="358" spans="1:10" s="12" customFormat="1" ht="31.5">
      <c r="A358" s="20" t="s">
        <v>169</v>
      </c>
      <c r="B358" s="21" t="s">
        <v>57</v>
      </c>
      <c r="C358" s="21" t="s">
        <v>20</v>
      </c>
      <c r="D358" s="21" t="s">
        <v>8</v>
      </c>
      <c r="E358" s="21" t="s">
        <v>415</v>
      </c>
      <c r="F358" s="21" t="s">
        <v>168</v>
      </c>
      <c r="G358" s="15"/>
      <c r="H358" s="98">
        <f>1500-50</f>
        <v>1450</v>
      </c>
      <c r="I358" s="98">
        <v>1444.58069</v>
      </c>
      <c r="J358" s="99">
        <f t="shared" si="15"/>
        <v>99.62625448275863</v>
      </c>
    </row>
    <row r="359" spans="1:10" s="12" customFormat="1" ht="15.75">
      <c r="A359" s="20" t="s">
        <v>36</v>
      </c>
      <c r="B359" s="21" t="s">
        <v>57</v>
      </c>
      <c r="C359" s="21" t="s">
        <v>20</v>
      </c>
      <c r="D359" s="21" t="s">
        <v>10</v>
      </c>
      <c r="E359" s="21"/>
      <c r="F359" s="21"/>
      <c r="G359" s="15" t="e">
        <f>#REF!+#REF!+#REF!</f>
        <v>#REF!</v>
      </c>
      <c r="H359" s="98">
        <f>H360+H362+H365+H367+H369+H378</f>
        <v>31600.552819999997</v>
      </c>
      <c r="I359" s="98">
        <f>I360+I362+I365+I367+I369+I378</f>
        <v>26692.772169999997</v>
      </c>
      <c r="J359" s="99">
        <f t="shared" si="15"/>
        <v>84.46932027437867</v>
      </c>
    </row>
    <row r="360" spans="1:10" s="12" customFormat="1" ht="15.75">
      <c r="A360" s="20" t="s">
        <v>416</v>
      </c>
      <c r="B360" s="21" t="s">
        <v>57</v>
      </c>
      <c r="C360" s="21" t="s">
        <v>20</v>
      </c>
      <c r="D360" s="21" t="s">
        <v>10</v>
      </c>
      <c r="E360" s="21" t="s">
        <v>417</v>
      </c>
      <c r="F360" s="21"/>
      <c r="G360" s="15"/>
      <c r="H360" s="98">
        <f>H361</f>
        <v>875.27817</v>
      </c>
      <c r="I360" s="98">
        <f>I361</f>
        <v>875.27817</v>
      </c>
      <c r="J360" s="99">
        <f t="shared" si="15"/>
        <v>100</v>
      </c>
    </row>
    <row r="361" spans="1:10" s="12" customFormat="1" ht="15.75">
      <c r="A361" s="20" t="s">
        <v>107</v>
      </c>
      <c r="B361" s="21" t="s">
        <v>57</v>
      </c>
      <c r="C361" s="21" t="s">
        <v>20</v>
      </c>
      <c r="D361" s="21" t="s">
        <v>10</v>
      </c>
      <c r="E361" s="21" t="s">
        <v>417</v>
      </c>
      <c r="F361" s="21" t="s">
        <v>106</v>
      </c>
      <c r="G361" s="15"/>
      <c r="H361" s="99">
        <v>875.27817</v>
      </c>
      <c r="I361" s="98">
        <v>875.27817</v>
      </c>
      <c r="J361" s="99">
        <f t="shared" si="15"/>
        <v>100</v>
      </c>
    </row>
    <row r="362" spans="1:10" s="12" customFormat="1" ht="47.25">
      <c r="A362" s="20" t="s">
        <v>418</v>
      </c>
      <c r="B362" s="21" t="s">
        <v>57</v>
      </c>
      <c r="C362" s="21" t="s">
        <v>20</v>
      </c>
      <c r="D362" s="21" t="s">
        <v>10</v>
      </c>
      <c r="E362" s="21" t="s">
        <v>419</v>
      </c>
      <c r="F362" s="21"/>
      <c r="G362" s="15"/>
      <c r="H362" s="98">
        <f>H363</f>
        <v>588.45715</v>
      </c>
      <c r="I362" s="98">
        <f>I363</f>
        <v>588.45715</v>
      </c>
      <c r="J362" s="99">
        <f t="shared" si="15"/>
        <v>100</v>
      </c>
    </row>
    <row r="363" spans="1:10" s="12" customFormat="1" ht="15.75">
      <c r="A363" s="20" t="s">
        <v>107</v>
      </c>
      <c r="B363" s="21" t="s">
        <v>57</v>
      </c>
      <c r="C363" s="21" t="s">
        <v>20</v>
      </c>
      <c r="D363" s="21" t="s">
        <v>10</v>
      </c>
      <c r="E363" s="21" t="s">
        <v>419</v>
      </c>
      <c r="F363" s="21" t="s">
        <v>106</v>
      </c>
      <c r="G363" s="15"/>
      <c r="H363" s="99">
        <v>588.45715</v>
      </c>
      <c r="I363" s="98">
        <v>588.45715</v>
      </c>
      <c r="J363" s="99">
        <f t="shared" si="15"/>
        <v>100</v>
      </c>
    </row>
    <row r="364" spans="1:10" s="12" customFormat="1" ht="31.5">
      <c r="A364" s="84" t="s">
        <v>420</v>
      </c>
      <c r="B364" s="21" t="s">
        <v>57</v>
      </c>
      <c r="C364" s="21">
        <v>10</v>
      </c>
      <c r="D364" s="21" t="s">
        <v>10</v>
      </c>
      <c r="E364" s="21" t="s">
        <v>421</v>
      </c>
      <c r="F364" s="21"/>
      <c r="G364" s="15"/>
      <c r="H364" s="98">
        <f>H367+H365</f>
        <v>10356.57</v>
      </c>
      <c r="I364" s="98">
        <f>I367+I365</f>
        <v>10356.57</v>
      </c>
      <c r="J364" s="99">
        <f t="shared" si="15"/>
        <v>100</v>
      </c>
    </row>
    <row r="365" spans="1:10" s="12" customFormat="1" ht="78.75">
      <c r="A365" s="84" t="s">
        <v>422</v>
      </c>
      <c r="B365" s="21" t="s">
        <v>57</v>
      </c>
      <c r="C365" s="21">
        <v>10</v>
      </c>
      <c r="D365" s="21" t="s">
        <v>10</v>
      </c>
      <c r="E365" s="21" t="s">
        <v>423</v>
      </c>
      <c r="F365" s="21"/>
      <c r="G365" s="15"/>
      <c r="H365" s="98">
        <f>H366</f>
        <v>8528.94</v>
      </c>
      <c r="I365" s="98">
        <f>I366</f>
        <v>8528.94</v>
      </c>
      <c r="J365" s="99">
        <f t="shared" si="15"/>
        <v>100</v>
      </c>
    </row>
    <row r="366" spans="1:10" s="12" customFormat="1" ht="31.5">
      <c r="A366" s="20" t="s">
        <v>166</v>
      </c>
      <c r="B366" s="21" t="s">
        <v>57</v>
      </c>
      <c r="C366" s="21">
        <v>10</v>
      </c>
      <c r="D366" s="21" t="s">
        <v>10</v>
      </c>
      <c r="E366" s="21" t="s">
        <v>423</v>
      </c>
      <c r="F366" s="21" t="s">
        <v>163</v>
      </c>
      <c r="G366" s="15"/>
      <c r="H366" s="99">
        <v>8528.94</v>
      </c>
      <c r="I366" s="98">
        <v>8528.94</v>
      </c>
      <c r="J366" s="99">
        <f t="shared" si="15"/>
        <v>100</v>
      </c>
    </row>
    <row r="367" spans="1:10" s="12" customFormat="1" ht="63">
      <c r="A367" s="54" t="s">
        <v>424</v>
      </c>
      <c r="B367" s="21" t="s">
        <v>57</v>
      </c>
      <c r="C367" s="21">
        <v>10</v>
      </c>
      <c r="D367" s="21" t="s">
        <v>10</v>
      </c>
      <c r="E367" s="21" t="s">
        <v>425</v>
      </c>
      <c r="F367" s="21"/>
      <c r="G367" s="15"/>
      <c r="H367" s="99">
        <f>H368</f>
        <v>1827.63</v>
      </c>
      <c r="I367" s="98">
        <f>I368</f>
        <v>1827.63</v>
      </c>
      <c r="J367" s="99">
        <f t="shared" si="15"/>
        <v>100</v>
      </c>
    </row>
    <row r="368" spans="1:10" s="12" customFormat="1" ht="31.5">
      <c r="A368" s="20" t="s">
        <v>166</v>
      </c>
      <c r="B368" s="21" t="s">
        <v>57</v>
      </c>
      <c r="C368" s="21">
        <v>10</v>
      </c>
      <c r="D368" s="21" t="s">
        <v>10</v>
      </c>
      <c r="E368" s="21" t="s">
        <v>425</v>
      </c>
      <c r="F368" s="21" t="s">
        <v>163</v>
      </c>
      <c r="G368" s="15"/>
      <c r="H368" s="99">
        <v>1827.63</v>
      </c>
      <c r="I368" s="98">
        <v>1827.63</v>
      </c>
      <c r="J368" s="99">
        <f t="shared" si="15"/>
        <v>100</v>
      </c>
    </row>
    <row r="369" spans="1:10" s="12" customFormat="1" ht="47.25">
      <c r="A369" s="20" t="s">
        <v>328</v>
      </c>
      <c r="B369" s="21" t="s">
        <v>57</v>
      </c>
      <c r="C369" s="21" t="s">
        <v>20</v>
      </c>
      <c r="D369" s="21" t="s">
        <v>10</v>
      </c>
      <c r="E369" s="21" t="s">
        <v>329</v>
      </c>
      <c r="F369" s="21"/>
      <c r="G369" s="15" t="e">
        <f>#REF!+J369+#REF!</f>
        <v>#REF!</v>
      </c>
      <c r="H369" s="98">
        <f>H370</f>
        <v>18308.6475</v>
      </c>
      <c r="I369" s="98">
        <f>I370</f>
        <v>13434.967499999999</v>
      </c>
      <c r="J369" s="99">
        <f t="shared" si="15"/>
        <v>73.38044768189458</v>
      </c>
    </row>
    <row r="370" spans="1:10" s="12" customFormat="1" ht="31.5">
      <c r="A370" s="20" t="s">
        <v>330</v>
      </c>
      <c r="B370" s="21" t="s">
        <v>57</v>
      </c>
      <c r="C370" s="21" t="s">
        <v>20</v>
      </c>
      <c r="D370" s="21" t="s">
        <v>10</v>
      </c>
      <c r="E370" s="21" t="s">
        <v>331</v>
      </c>
      <c r="F370" s="21"/>
      <c r="G370" s="15"/>
      <c r="H370" s="98">
        <f>H371+H374</f>
        <v>18308.6475</v>
      </c>
      <c r="I370" s="98">
        <f>I371+I374</f>
        <v>13434.967499999999</v>
      </c>
      <c r="J370" s="99">
        <f t="shared" si="15"/>
        <v>73.38044768189458</v>
      </c>
    </row>
    <row r="371" spans="1:10" s="12" customFormat="1" ht="31.5">
      <c r="A371" s="20" t="s">
        <v>426</v>
      </c>
      <c r="B371" s="21" t="s">
        <v>57</v>
      </c>
      <c r="C371" s="21" t="s">
        <v>20</v>
      </c>
      <c r="D371" s="21" t="s">
        <v>10</v>
      </c>
      <c r="E371" s="21" t="s">
        <v>427</v>
      </c>
      <c r="F371" s="21"/>
      <c r="G371" s="15"/>
      <c r="H371" s="98">
        <f>H372</f>
        <v>1200</v>
      </c>
      <c r="I371" s="98">
        <f>I372</f>
        <v>1200</v>
      </c>
      <c r="J371" s="99">
        <f t="shared" si="15"/>
        <v>100</v>
      </c>
    </row>
    <row r="372" spans="1:10" s="12" customFormat="1" ht="31.5">
      <c r="A372" s="20" t="s">
        <v>105</v>
      </c>
      <c r="B372" s="21" t="s">
        <v>57</v>
      </c>
      <c r="C372" s="21" t="s">
        <v>20</v>
      </c>
      <c r="D372" s="21" t="s">
        <v>10</v>
      </c>
      <c r="E372" s="21" t="s">
        <v>427</v>
      </c>
      <c r="F372" s="21" t="s">
        <v>103</v>
      </c>
      <c r="G372" s="15"/>
      <c r="H372" s="98">
        <f>H373</f>
        <v>1200</v>
      </c>
      <c r="I372" s="98">
        <f>I373</f>
        <v>1200</v>
      </c>
      <c r="J372" s="99">
        <f t="shared" si="15"/>
        <v>100</v>
      </c>
    </row>
    <row r="373" spans="1:10" s="12" customFormat="1" ht="15.75">
      <c r="A373" s="20" t="s">
        <v>107</v>
      </c>
      <c r="B373" s="21" t="s">
        <v>57</v>
      </c>
      <c r="C373" s="21" t="s">
        <v>20</v>
      </c>
      <c r="D373" s="21" t="s">
        <v>10</v>
      </c>
      <c r="E373" s="21" t="s">
        <v>427</v>
      </c>
      <c r="F373" s="21" t="s">
        <v>106</v>
      </c>
      <c r="G373" s="15"/>
      <c r="H373" s="98">
        <v>1200</v>
      </c>
      <c r="I373" s="98">
        <v>1200</v>
      </c>
      <c r="J373" s="99">
        <f t="shared" si="15"/>
        <v>100</v>
      </c>
    </row>
    <row r="374" spans="1:10" s="12" customFormat="1" ht="31.5">
      <c r="A374" s="20" t="s">
        <v>428</v>
      </c>
      <c r="B374" s="21" t="s">
        <v>57</v>
      </c>
      <c r="C374" s="21" t="s">
        <v>20</v>
      </c>
      <c r="D374" s="21" t="s">
        <v>10</v>
      </c>
      <c r="E374" s="21" t="s">
        <v>429</v>
      </c>
      <c r="F374" s="21"/>
      <c r="G374" s="15"/>
      <c r="H374" s="98">
        <f>H376+H375+H377</f>
        <v>17108.6475</v>
      </c>
      <c r="I374" s="98">
        <f>I376+I375+I377</f>
        <v>12234.967499999999</v>
      </c>
      <c r="J374" s="99">
        <f t="shared" si="15"/>
        <v>71.513353115727</v>
      </c>
    </row>
    <row r="375" spans="1:10" s="12" customFormat="1" ht="31.5">
      <c r="A375" s="20" t="s">
        <v>166</v>
      </c>
      <c r="B375" s="21" t="s">
        <v>57</v>
      </c>
      <c r="C375" s="21" t="s">
        <v>20</v>
      </c>
      <c r="D375" s="21" t="s">
        <v>10</v>
      </c>
      <c r="E375" s="21" t="s">
        <v>429</v>
      </c>
      <c r="F375" s="21" t="s">
        <v>163</v>
      </c>
      <c r="G375" s="15"/>
      <c r="H375" s="98">
        <v>6667.465</v>
      </c>
      <c r="I375" s="98">
        <v>6667.465</v>
      </c>
      <c r="J375" s="99">
        <f t="shared" si="15"/>
        <v>100</v>
      </c>
    </row>
    <row r="376" spans="1:10" s="12" customFormat="1" ht="31.5">
      <c r="A376" s="20" t="s">
        <v>326</v>
      </c>
      <c r="B376" s="21" t="s">
        <v>57</v>
      </c>
      <c r="C376" s="21" t="s">
        <v>20</v>
      </c>
      <c r="D376" s="21" t="s">
        <v>10</v>
      </c>
      <c r="E376" s="21" t="s">
        <v>429</v>
      </c>
      <c r="F376" s="21" t="s">
        <v>153</v>
      </c>
      <c r="G376" s="15"/>
      <c r="H376" s="98">
        <v>10441.1825</v>
      </c>
      <c r="I376" s="98">
        <v>5567.5025</v>
      </c>
      <c r="J376" s="99">
        <f aca="true" t="shared" si="17" ref="J376:J401">I376/H376*100</f>
        <v>53.32252836304699</v>
      </c>
    </row>
    <row r="377" spans="1:10" s="12" customFormat="1" ht="63" hidden="1">
      <c r="A377" s="20" t="s">
        <v>135</v>
      </c>
      <c r="B377" s="21"/>
      <c r="C377" s="21" t="s">
        <v>20</v>
      </c>
      <c r="D377" s="21" t="s">
        <v>10</v>
      </c>
      <c r="E377" s="21" t="s">
        <v>429</v>
      </c>
      <c r="F377" s="21" t="s">
        <v>134</v>
      </c>
      <c r="G377" s="85">
        <f>H377+I377</f>
        <v>0</v>
      </c>
      <c r="H377" s="98"/>
      <c r="I377" s="98"/>
      <c r="J377" s="99" t="e">
        <f t="shared" si="17"/>
        <v>#DIV/0!</v>
      </c>
    </row>
    <row r="378" spans="1:10" s="12" customFormat="1" ht="63">
      <c r="A378" s="20" t="s">
        <v>430</v>
      </c>
      <c r="B378" s="21" t="s">
        <v>57</v>
      </c>
      <c r="C378" s="21" t="s">
        <v>20</v>
      </c>
      <c r="D378" s="21" t="s">
        <v>10</v>
      </c>
      <c r="E378" s="21" t="s">
        <v>431</v>
      </c>
      <c r="F378" s="21"/>
      <c r="G378" s="15"/>
      <c r="H378" s="98">
        <f>H379</f>
        <v>1471.6</v>
      </c>
      <c r="I378" s="98">
        <f>I379</f>
        <v>1437.49935</v>
      </c>
      <c r="J378" s="99">
        <f t="shared" si="17"/>
        <v>97.68275006795326</v>
      </c>
    </row>
    <row r="379" spans="1:10" ht="47.25">
      <c r="A379" s="20" t="s">
        <v>432</v>
      </c>
      <c r="B379" s="21" t="s">
        <v>57</v>
      </c>
      <c r="C379" s="21" t="s">
        <v>20</v>
      </c>
      <c r="D379" s="21" t="s">
        <v>10</v>
      </c>
      <c r="E379" s="21" t="s">
        <v>433</v>
      </c>
      <c r="F379" s="21"/>
      <c r="G379" s="15"/>
      <c r="H379" s="98">
        <f>H380</f>
        <v>1471.6</v>
      </c>
      <c r="I379" s="98">
        <f>I380</f>
        <v>1437.49935</v>
      </c>
      <c r="J379" s="99">
        <f t="shared" si="17"/>
        <v>97.68275006795326</v>
      </c>
    </row>
    <row r="380" spans="1:10" ht="47.25">
      <c r="A380" s="20" t="s">
        <v>434</v>
      </c>
      <c r="B380" s="21" t="s">
        <v>57</v>
      </c>
      <c r="C380" s="21" t="s">
        <v>20</v>
      </c>
      <c r="D380" s="21" t="s">
        <v>10</v>
      </c>
      <c r="E380" s="21" t="s">
        <v>435</v>
      </c>
      <c r="F380" s="21"/>
      <c r="G380" s="15"/>
      <c r="H380" s="98">
        <f>H381+H382</f>
        <v>1471.6</v>
      </c>
      <c r="I380" s="98">
        <f>I381+I382</f>
        <v>1437.49935</v>
      </c>
      <c r="J380" s="99">
        <f t="shared" si="17"/>
        <v>97.68275006795326</v>
      </c>
    </row>
    <row r="381" spans="1:10" ht="31.5">
      <c r="A381" s="20" t="s">
        <v>141</v>
      </c>
      <c r="B381" s="21" t="s">
        <v>57</v>
      </c>
      <c r="C381" s="21" t="s">
        <v>20</v>
      </c>
      <c r="D381" s="21" t="s">
        <v>10</v>
      </c>
      <c r="E381" s="21" t="s">
        <v>435</v>
      </c>
      <c r="F381" s="21" t="s">
        <v>104</v>
      </c>
      <c r="G381" s="15"/>
      <c r="H381" s="98">
        <f>1141.6-150</f>
        <v>991.5999999999999</v>
      </c>
      <c r="I381" s="98">
        <v>969.5369</v>
      </c>
      <c r="J381" s="99">
        <f t="shared" si="17"/>
        <v>97.775</v>
      </c>
    </row>
    <row r="382" spans="1:10" ht="15.75">
      <c r="A382" s="20" t="s">
        <v>436</v>
      </c>
      <c r="B382" s="21" t="s">
        <v>57</v>
      </c>
      <c r="C382" s="21" t="s">
        <v>20</v>
      </c>
      <c r="D382" s="21" t="s">
        <v>10</v>
      </c>
      <c r="E382" s="21" t="s">
        <v>435</v>
      </c>
      <c r="F382" s="21" t="s">
        <v>437</v>
      </c>
      <c r="G382" s="15"/>
      <c r="H382" s="98">
        <v>480</v>
      </c>
      <c r="I382" s="98">
        <v>467.96245</v>
      </c>
      <c r="J382" s="99">
        <f t="shared" si="17"/>
        <v>97.49217708333333</v>
      </c>
    </row>
    <row r="383" spans="1:10" ht="15.75">
      <c r="A383" s="20" t="s">
        <v>37</v>
      </c>
      <c r="B383" s="21" t="s">
        <v>57</v>
      </c>
      <c r="C383" s="21" t="s">
        <v>20</v>
      </c>
      <c r="D383" s="21" t="s">
        <v>12</v>
      </c>
      <c r="E383" s="21"/>
      <c r="F383" s="21"/>
      <c r="G383" s="15"/>
      <c r="H383" s="98">
        <f>H384</f>
        <v>533.237</v>
      </c>
      <c r="I383" s="98">
        <f>I384</f>
        <v>533.237</v>
      </c>
      <c r="J383" s="99">
        <f t="shared" si="17"/>
        <v>100</v>
      </c>
    </row>
    <row r="384" spans="1:10" ht="31.5">
      <c r="A384" s="20" t="s">
        <v>262</v>
      </c>
      <c r="B384" s="21" t="s">
        <v>57</v>
      </c>
      <c r="C384" s="21" t="s">
        <v>20</v>
      </c>
      <c r="D384" s="21" t="s">
        <v>12</v>
      </c>
      <c r="E384" s="21" t="s">
        <v>263</v>
      </c>
      <c r="F384" s="21"/>
      <c r="G384" s="15"/>
      <c r="H384" s="98">
        <f>H385</f>
        <v>533.237</v>
      </c>
      <c r="I384" s="98">
        <f>I385</f>
        <v>533.237</v>
      </c>
      <c r="J384" s="99">
        <f t="shared" si="17"/>
        <v>100</v>
      </c>
    </row>
    <row r="385" spans="1:10" ht="31.5">
      <c r="A385" s="20" t="s">
        <v>124</v>
      </c>
      <c r="B385" s="21" t="s">
        <v>57</v>
      </c>
      <c r="C385" s="21" t="s">
        <v>20</v>
      </c>
      <c r="D385" s="21" t="s">
        <v>12</v>
      </c>
      <c r="E385" s="21" t="s">
        <v>263</v>
      </c>
      <c r="F385" s="21" t="s">
        <v>123</v>
      </c>
      <c r="G385" s="15"/>
      <c r="H385" s="98">
        <v>533.237</v>
      </c>
      <c r="I385" s="98">
        <v>533.237</v>
      </c>
      <c r="J385" s="99">
        <f t="shared" si="17"/>
        <v>100</v>
      </c>
    </row>
    <row r="386" spans="1:10" ht="15.75">
      <c r="A386" s="20" t="s">
        <v>71</v>
      </c>
      <c r="B386" s="21" t="s">
        <v>57</v>
      </c>
      <c r="C386" s="21" t="s">
        <v>48</v>
      </c>
      <c r="D386" s="21" t="s">
        <v>8</v>
      </c>
      <c r="E386" s="21"/>
      <c r="F386" s="21"/>
      <c r="G386" s="15"/>
      <c r="H386" s="98">
        <f aca="true" t="shared" si="18" ref="H386:I388">H387</f>
        <v>1930.53</v>
      </c>
      <c r="I386" s="98">
        <f t="shared" si="18"/>
        <v>1924.60357</v>
      </c>
      <c r="J386" s="99">
        <f t="shared" si="17"/>
        <v>99.69301538955624</v>
      </c>
    </row>
    <row r="387" spans="1:10" s="10" customFormat="1" ht="47.25">
      <c r="A387" s="20" t="s">
        <v>379</v>
      </c>
      <c r="B387" s="21" t="s">
        <v>57</v>
      </c>
      <c r="C387" s="21" t="s">
        <v>48</v>
      </c>
      <c r="D387" s="21" t="s">
        <v>8</v>
      </c>
      <c r="E387" s="21" t="s">
        <v>380</v>
      </c>
      <c r="F387" s="21"/>
      <c r="G387" s="15" t="e">
        <f>#REF!+#REF!+#REF!</f>
        <v>#REF!</v>
      </c>
      <c r="H387" s="98">
        <f t="shared" si="18"/>
        <v>1930.53</v>
      </c>
      <c r="I387" s="98">
        <f t="shared" si="18"/>
        <v>1924.60357</v>
      </c>
      <c r="J387" s="99">
        <f t="shared" si="17"/>
        <v>99.69301538955624</v>
      </c>
    </row>
    <row r="388" spans="1:10" ht="31.5">
      <c r="A388" s="20" t="s">
        <v>438</v>
      </c>
      <c r="B388" s="21" t="s">
        <v>57</v>
      </c>
      <c r="C388" s="21" t="s">
        <v>48</v>
      </c>
      <c r="D388" s="21" t="s">
        <v>8</v>
      </c>
      <c r="E388" s="21" t="s">
        <v>382</v>
      </c>
      <c r="F388" s="21"/>
      <c r="G388" s="15"/>
      <c r="H388" s="98">
        <f t="shared" si="18"/>
        <v>1930.53</v>
      </c>
      <c r="I388" s="98">
        <f t="shared" si="18"/>
        <v>1924.60357</v>
      </c>
      <c r="J388" s="99">
        <f t="shared" si="17"/>
        <v>99.69301538955624</v>
      </c>
    </row>
    <row r="389" spans="1:10" ht="31.5">
      <c r="A389" s="20" t="s">
        <v>439</v>
      </c>
      <c r="B389" s="21" t="s">
        <v>57</v>
      </c>
      <c r="C389" s="21" t="s">
        <v>48</v>
      </c>
      <c r="D389" s="21" t="s">
        <v>8</v>
      </c>
      <c r="E389" s="21" t="s">
        <v>440</v>
      </c>
      <c r="F389" s="21"/>
      <c r="G389" s="15"/>
      <c r="H389" s="98">
        <f>H391+H394+H390+H396</f>
        <v>1930.53</v>
      </c>
      <c r="I389" s="98">
        <f>I391+I394+I390+I396</f>
        <v>1924.60357</v>
      </c>
      <c r="J389" s="99">
        <f t="shared" si="17"/>
        <v>99.69301538955624</v>
      </c>
    </row>
    <row r="390" spans="1:10" ht="47.25">
      <c r="A390" s="20" t="s">
        <v>277</v>
      </c>
      <c r="B390" s="21" t="s">
        <v>57</v>
      </c>
      <c r="C390" s="21" t="s">
        <v>48</v>
      </c>
      <c r="D390" s="21" t="s">
        <v>8</v>
      </c>
      <c r="E390" s="21" t="s">
        <v>440</v>
      </c>
      <c r="F390" s="21" t="s">
        <v>159</v>
      </c>
      <c r="G390" s="15"/>
      <c r="H390" s="98">
        <v>688</v>
      </c>
      <c r="I390" s="98">
        <v>686.5589</v>
      </c>
      <c r="J390" s="99">
        <f t="shared" si="17"/>
        <v>99.79053779069767</v>
      </c>
    </row>
    <row r="391" spans="1:10" ht="15.75" hidden="1">
      <c r="A391" s="20" t="s">
        <v>82</v>
      </c>
      <c r="B391" s="21" t="s">
        <v>57</v>
      </c>
      <c r="C391" s="21" t="s">
        <v>48</v>
      </c>
      <c r="D391" s="21" t="s">
        <v>8</v>
      </c>
      <c r="E391" s="21" t="s">
        <v>440</v>
      </c>
      <c r="F391" s="21" t="s">
        <v>81</v>
      </c>
      <c r="G391" s="15"/>
      <c r="H391" s="98">
        <f>H392+H393</f>
        <v>0</v>
      </c>
      <c r="I391" s="98">
        <f>I392+I393</f>
        <v>0</v>
      </c>
      <c r="J391" s="99" t="e">
        <f t="shared" si="17"/>
        <v>#DIV/0!</v>
      </c>
    </row>
    <row r="392" spans="1:10" ht="47.25" hidden="1">
      <c r="A392" s="20" t="s">
        <v>128</v>
      </c>
      <c r="B392" s="21" t="s">
        <v>57</v>
      </c>
      <c r="C392" s="21" t="s">
        <v>48</v>
      </c>
      <c r="D392" s="21" t="s">
        <v>8</v>
      </c>
      <c r="E392" s="21" t="s">
        <v>440</v>
      </c>
      <c r="F392" s="21" t="s">
        <v>127</v>
      </c>
      <c r="G392" s="15"/>
      <c r="H392" s="98"/>
      <c r="I392" s="98"/>
      <c r="J392" s="99" t="e">
        <f t="shared" si="17"/>
        <v>#DIV/0!</v>
      </c>
    </row>
    <row r="393" spans="1:10" ht="31.5" hidden="1">
      <c r="A393" s="20" t="s">
        <v>192</v>
      </c>
      <c r="B393" s="21" t="s">
        <v>57</v>
      </c>
      <c r="C393" s="21" t="s">
        <v>48</v>
      </c>
      <c r="D393" s="21" t="s">
        <v>8</v>
      </c>
      <c r="E393" s="21" t="s">
        <v>440</v>
      </c>
      <c r="F393" s="21" t="s">
        <v>193</v>
      </c>
      <c r="G393" s="15"/>
      <c r="H393" s="98"/>
      <c r="I393" s="98"/>
      <c r="J393" s="99" t="e">
        <f t="shared" si="17"/>
        <v>#DIV/0!</v>
      </c>
    </row>
    <row r="394" spans="1:10" ht="15.75">
      <c r="A394" s="20" t="s">
        <v>88</v>
      </c>
      <c r="B394" s="21" t="s">
        <v>57</v>
      </c>
      <c r="C394" s="21" t="s">
        <v>48</v>
      </c>
      <c r="D394" s="21" t="s">
        <v>8</v>
      </c>
      <c r="E394" s="21" t="s">
        <v>440</v>
      </c>
      <c r="F394" s="21" t="s">
        <v>87</v>
      </c>
      <c r="G394" s="15"/>
      <c r="H394" s="98">
        <f>H395</f>
        <v>1177.53</v>
      </c>
      <c r="I394" s="98">
        <f>I395</f>
        <v>1173.04467</v>
      </c>
      <c r="J394" s="99">
        <f t="shared" si="17"/>
        <v>99.61908995949148</v>
      </c>
    </row>
    <row r="395" spans="1:10" ht="15.75">
      <c r="A395" s="20" t="s">
        <v>215</v>
      </c>
      <c r="B395" s="21" t="s">
        <v>57</v>
      </c>
      <c r="C395" s="21" t="s">
        <v>48</v>
      </c>
      <c r="D395" s="21" t="s">
        <v>8</v>
      </c>
      <c r="E395" s="21" t="s">
        <v>440</v>
      </c>
      <c r="F395" s="21" t="s">
        <v>90</v>
      </c>
      <c r="G395" s="15"/>
      <c r="H395" s="98">
        <f>1227.53-50</f>
        <v>1177.53</v>
      </c>
      <c r="I395" s="98">
        <v>1173.04467</v>
      </c>
      <c r="J395" s="99">
        <f t="shared" si="17"/>
        <v>99.61908995949148</v>
      </c>
    </row>
    <row r="396" spans="1:10" ht="15.75">
      <c r="A396" s="20" t="s">
        <v>157</v>
      </c>
      <c r="B396" s="21" t="s">
        <v>57</v>
      </c>
      <c r="C396" s="21" t="s">
        <v>48</v>
      </c>
      <c r="D396" s="21" t="s">
        <v>8</v>
      </c>
      <c r="E396" s="21" t="s">
        <v>440</v>
      </c>
      <c r="F396" s="21" t="s">
        <v>158</v>
      </c>
      <c r="G396" s="15"/>
      <c r="H396" s="98">
        <v>65</v>
      </c>
      <c r="I396" s="98">
        <v>65</v>
      </c>
      <c r="J396" s="99">
        <f t="shared" si="17"/>
        <v>100</v>
      </c>
    </row>
    <row r="397" spans="1:10" ht="15.75">
      <c r="A397" s="20" t="s">
        <v>33</v>
      </c>
      <c r="B397" s="21" t="s">
        <v>57</v>
      </c>
      <c r="C397" s="21" t="s">
        <v>15</v>
      </c>
      <c r="D397" s="21" t="s">
        <v>18</v>
      </c>
      <c r="E397" s="21"/>
      <c r="F397" s="21"/>
      <c r="G397" s="15"/>
      <c r="H397" s="98">
        <f aca="true" t="shared" si="19" ref="H397:I400">H398</f>
        <v>2466.248</v>
      </c>
      <c r="I397" s="98">
        <f t="shared" si="19"/>
        <v>2466.248</v>
      </c>
      <c r="J397" s="99">
        <f t="shared" si="17"/>
        <v>100</v>
      </c>
    </row>
    <row r="398" spans="1:10" ht="47.25">
      <c r="A398" s="20" t="s">
        <v>142</v>
      </c>
      <c r="B398" s="21" t="s">
        <v>57</v>
      </c>
      <c r="C398" s="21" t="s">
        <v>15</v>
      </c>
      <c r="D398" s="21" t="s">
        <v>18</v>
      </c>
      <c r="E398" s="21" t="s">
        <v>209</v>
      </c>
      <c r="F398" s="21"/>
      <c r="G398" s="15"/>
      <c r="H398" s="98">
        <f t="shared" si="19"/>
        <v>2466.248</v>
      </c>
      <c r="I398" s="98">
        <f t="shared" si="19"/>
        <v>2466.248</v>
      </c>
      <c r="J398" s="99">
        <f t="shared" si="17"/>
        <v>100</v>
      </c>
    </row>
    <row r="399" spans="1:10" ht="47.25">
      <c r="A399" s="20" t="s">
        <v>441</v>
      </c>
      <c r="B399" s="21" t="s">
        <v>57</v>
      </c>
      <c r="C399" s="21" t="s">
        <v>15</v>
      </c>
      <c r="D399" s="21" t="s">
        <v>18</v>
      </c>
      <c r="E399" s="21" t="s">
        <v>442</v>
      </c>
      <c r="F399" s="21"/>
      <c r="G399" s="15"/>
      <c r="H399" s="98">
        <f t="shared" si="19"/>
        <v>2466.248</v>
      </c>
      <c r="I399" s="98">
        <f t="shared" si="19"/>
        <v>2466.248</v>
      </c>
      <c r="J399" s="99">
        <f t="shared" si="17"/>
        <v>100</v>
      </c>
    </row>
    <row r="400" spans="1:10" ht="15.75">
      <c r="A400" s="20" t="s">
        <v>102</v>
      </c>
      <c r="B400" s="21" t="s">
        <v>57</v>
      </c>
      <c r="C400" s="21" t="s">
        <v>15</v>
      </c>
      <c r="D400" s="21" t="s">
        <v>18</v>
      </c>
      <c r="E400" s="21" t="s">
        <v>442</v>
      </c>
      <c r="F400" s="21" t="s">
        <v>100</v>
      </c>
      <c r="G400" s="15"/>
      <c r="H400" s="98">
        <f t="shared" si="19"/>
        <v>2466.248</v>
      </c>
      <c r="I400" s="98">
        <f t="shared" si="19"/>
        <v>2466.248</v>
      </c>
      <c r="J400" s="99">
        <f t="shared" si="17"/>
        <v>100</v>
      </c>
    </row>
    <row r="401" spans="1:10" ht="47.25">
      <c r="A401" s="20" t="s">
        <v>114</v>
      </c>
      <c r="B401" s="21" t="s">
        <v>57</v>
      </c>
      <c r="C401" s="21" t="s">
        <v>15</v>
      </c>
      <c r="D401" s="21" t="s">
        <v>18</v>
      </c>
      <c r="E401" s="21" t="s">
        <v>442</v>
      </c>
      <c r="F401" s="21" t="s">
        <v>101</v>
      </c>
      <c r="G401" s="15"/>
      <c r="H401" s="98">
        <v>2466.248</v>
      </c>
      <c r="I401" s="98">
        <v>2466.248</v>
      </c>
      <c r="J401" s="99">
        <f t="shared" si="17"/>
        <v>100</v>
      </c>
    </row>
    <row r="402" spans="1:10" s="12" customFormat="1" ht="15.75">
      <c r="A402" s="31"/>
      <c r="B402" s="38"/>
      <c r="C402" s="38"/>
      <c r="D402" s="38"/>
      <c r="E402" s="38"/>
      <c r="F402" s="38"/>
      <c r="G402" s="32"/>
      <c r="H402" s="107"/>
      <c r="I402" s="107"/>
      <c r="J402" s="32"/>
    </row>
    <row r="403" spans="1:10" s="12" customFormat="1" ht="15.75">
      <c r="A403" s="33"/>
      <c r="B403" s="34"/>
      <c r="C403" s="34"/>
      <c r="D403" s="34"/>
      <c r="E403" s="34"/>
      <c r="F403" s="34"/>
      <c r="G403" s="32"/>
      <c r="H403" s="108"/>
      <c r="I403" s="108"/>
      <c r="J403" s="49"/>
    </row>
    <row r="404" spans="1:10" s="12" customFormat="1" ht="31.5">
      <c r="A404" s="35" t="s">
        <v>61</v>
      </c>
      <c r="B404" s="17" t="s">
        <v>53</v>
      </c>
      <c r="C404" s="17" t="s">
        <v>9</v>
      </c>
      <c r="D404" s="17" t="s">
        <v>9</v>
      </c>
      <c r="E404" s="17"/>
      <c r="F404" s="17"/>
      <c r="G404" s="18" t="e">
        <f>#REF!+#REF!+#REF!</f>
        <v>#REF!</v>
      </c>
      <c r="H404" s="97">
        <f>H405+H433</f>
        <v>4568.45</v>
      </c>
      <c r="I404" s="97">
        <f>I405+I433</f>
        <v>4405.3363</v>
      </c>
      <c r="J404" s="99">
        <f aca="true" t="shared" si="20" ref="J404:J437">I404/H404*100</f>
        <v>96.42956144863138</v>
      </c>
    </row>
    <row r="405" spans="1:10" s="12" customFormat="1" ht="15.75">
      <c r="A405" s="20" t="s">
        <v>7</v>
      </c>
      <c r="B405" s="21" t="s">
        <v>53</v>
      </c>
      <c r="C405" s="21" t="s">
        <v>8</v>
      </c>
      <c r="D405" s="21" t="s">
        <v>9</v>
      </c>
      <c r="E405" s="17"/>
      <c r="F405" s="17"/>
      <c r="G405" s="42"/>
      <c r="H405" s="97">
        <f>H406+H429</f>
        <v>4564.95</v>
      </c>
      <c r="I405" s="97">
        <f>I406+I429</f>
        <v>4403.3363</v>
      </c>
      <c r="J405" s="99">
        <f t="shared" si="20"/>
        <v>96.45968301952924</v>
      </c>
    </row>
    <row r="406" spans="1:10" s="12" customFormat="1" ht="47.25">
      <c r="A406" s="36" t="s">
        <v>51</v>
      </c>
      <c r="B406" s="21" t="s">
        <v>53</v>
      </c>
      <c r="C406" s="21" t="s">
        <v>8</v>
      </c>
      <c r="D406" s="21" t="s">
        <v>10</v>
      </c>
      <c r="E406" s="21"/>
      <c r="F406" s="21"/>
      <c r="G406" s="15" t="e">
        <f>#REF!+#REF!+#REF!</f>
        <v>#REF!</v>
      </c>
      <c r="H406" s="98">
        <f>+H407</f>
        <v>4466</v>
      </c>
      <c r="I406" s="98">
        <f>+I407</f>
        <v>4304.4283</v>
      </c>
      <c r="J406" s="99">
        <f t="shared" si="20"/>
        <v>96.3821831616659</v>
      </c>
    </row>
    <row r="407" spans="1:10" s="12" customFormat="1" ht="47.25">
      <c r="A407" s="20" t="s">
        <v>150</v>
      </c>
      <c r="B407" s="22" t="s">
        <v>53</v>
      </c>
      <c r="C407" s="22" t="s">
        <v>8</v>
      </c>
      <c r="D407" s="22" t="s">
        <v>10</v>
      </c>
      <c r="E407" s="21" t="s">
        <v>443</v>
      </c>
      <c r="F407" s="22"/>
      <c r="G407" s="23"/>
      <c r="H407" s="98">
        <f>H408+H413</f>
        <v>4466</v>
      </c>
      <c r="I407" s="98">
        <f>I408+I413</f>
        <v>4304.4283</v>
      </c>
      <c r="J407" s="99">
        <f t="shared" si="20"/>
        <v>96.3821831616659</v>
      </c>
    </row>
    <row r="408" spans="1:10" s="12" customFormat="1" ht="15.75">
      <c r="A408" s="20" t="s">
        <v>45</v>
      </c>
      <c r="B408" s="22" t="s">
        <v>53</v>
      </c>
      <c r="C408" s="22" t="s">
        <v>8</v>
      </c>
      <c r="D408" s="22" t="s">
        <v>10</v>
      </c>
      <c r="E408" s="21" t="s">
        <v>444</v>
      </c>
      <c r="F408" s="22"/>
      <c r="G408" s="23"/>
      <c r="H408" s="98">
        <f>H409</f>
        <v>2061</v>
      </c>
      <c r="I408" s="98">
        <f>I409</f>
        <v>1983.67158</v>
      </c>
      <c r="J408" s="99">
        <f t="shared" si="20"/>
        <v>96.24801455604074</v>
      </c>
    </row>
    <row r="409" spans="1:10" s="12" customFormat="1" ht="15.75">
      <c r="A409" s="20" t="s">
        <v>82</v>
      </c>
      <c r="B409" s="22" t="s">
        <v>53</v>
      </c>
      <c r="C409" s="22" t="s">
        <v>8</v>
      </c>
      <c r="D409" s="22" t="s">
        <v>10</v>
      </c>
      <c r="E409" s="21" t="s">
        <v>444</v>
      </c>
      <c r="F409" s="22" t="s">
        <v>81</v>
      </c>
      <c r="G409" s="23"/>
      <c r="H409" s="98">
        <f>H410+H411+H412</f>
        <v>2061</v>
      </c>
      <c r="I409" s="98">
        <f>I410+I411+I412</f>
        <v>1983.67158</v>
      </c>
      <c r="J409" s="99">
        <f t="shared" si="20"/>
        <v>96.24801455604074</v>
      </c>
    </row>
    <row r="410" spans="1:10" s="12" customFormat="1" ht="15.75">
      <c r="A410" s="20" t="s">
        <v>191</v>
      </c>
      <c r="B410" s="22" t="s">
        <v>53</v>
      </c>
      <c r="C410" s="22" t="s">
        <v>8</v>
      </c>
      <c r="D410" s="22" t="s">
        <v>10</v>
      </c>
      <c r="E410" s="21" t="s">
        <v>444</v>
      </c>
      <c r="F410" s="22" t="s">
        <v>83</v>
      </c>
      <c r="G410" s="23"/>
      <c r="H410" s="98">
        <v>1604.953</v>
      </c>
      <c r="I410" s="98">
        <v>1542.60327</v>
      </c>
      <c r="J410" s="99">
        <f t="shared" si="20"/>
        <v>96.11516785849804</v>
      </c>
    </row>
    <row r="411" spans="1:10" ht="31.5">
      <c r="A411" s="20" t="s">
        <v>138</v>
      </c>
      <c r="B411" s="22" t="s">
        <v>53</v>
      </c>
      <c r="C411" s="22" t="s">
        <v>8</v>
      </c>
      <c r="D411" s="22" t="s">
        <v>10</v>
      </c>
      <c r="E411" s="21" t="s">
        <v>444</v>
      </c>
      <c r="F411" s="22" t="s">
        <v>85</v>
      </c>
      <c r="G411" s="23"/>
      <c r="H411" s="98">
        <v>89.32</v>
      </c>
      <c r="I411" s="98">
        <v>89.32</v>
      </c>
      <c r="J411" s="99">
        <f t="shared" si="20"/>
        <v>100</v>
      </c>
    </row>
    <row r="412" spans="1:10" ht="31.5">
      <c r="A412" s="20" t="s">
        <v>192</v>
      </c>
      <c r="B412" s="22" t="s">
        <v>53</v>
      </c>
      <c r="C412" s="22" t="s">
        <v>8</v>
      </c>
      <c r="D412" s="22" t="s">
        <v>10</v>
      </c>
      <c r="E412" s="21" t="s">
        <v>444</v>
      </c>
      <c r="F412" s="22" t="s">
        <v>193</v>
      </c>
      <c r="G412" s="23"/>
      <c r="H412" s="98">
        <v>366.727</v>
      </c>
      <c r="I412" s="98">
        <v>351.74831</v>
      </c>
      <c r="J412" s="99">
        <f t="shared" si="20"/>
        <v>95.91557480087369</v>
      </c>
    </row>
    <row r="413" spans="1:10" ht="47.25">
      <c r="A413" s="20" t="s">
        <v>151</v>
      </c>
      <c r="B413" s="22" t="s">
        <v>53</v>
      </c>
      <c r="C413" s="22" t="s">
        <v>8</v>
      </c>
      <c r="D413" s="22" t="s">
        <v>10</v>
      </c>
      <c r="E413" s="21" t="s">
        <v>445</v>
      </c>
      <c r="F413" s="22"/>
      <c r="G413" s="23"/>
      <c r="H413" s="98">
        <f>H414+H420</f>
        <v>2405</v>
      </c>
      <c r="I413" s="98">
        <f>I414+I420</f>
        <v>2320.75672</v>
      </c>
      <c r="J413" s="99">
        <f t="shared" si="20"/>
        <v>96.49716091476091</v>
      </c>
    </row>
    <row r="414" spans="1:10" ht="47.25">
      <c r="A414" s="20" t="s">
        <v>446</v>
      </c>
      <c r="B414" s="22" t="s">
        <v>53</v>
      </c>
      <c r="C414" s="22" t="s">
        <v>8</v>
      </c>
      <c r="D414" s="22" t="s">
        <v>10</v>
      </c>
      <c r="E414" s="21" t="s">
        <v>447</v>
      </c>
      <c r="F414" s="22"/>
      <c r="G414" s="23"/>
      <c r="H414" s="98">
        <f>H415</f>
        <v>1981.37</v>
      </c>
      <c r="I414" s="98">
        <f>I415</f>
        <v>1908.21103</v>
      </c>
      <c r="J414" s="99">
        <f t="shared" si="20"/>
        <v>96.30765732801042</v>
      </c>
    </row>
    <row r="415" spans="1:10" ht="15.75">
      <c r="A415" s="20" t="s">
        <v>82</v>
      </c>
      <c r="B415" s="21" t="s">
        <v>53</v>
      </c>
      <c r="C415" s="21" t="s">
        <v>8</v>
      </c>
      <c r="D415" s="21" t="s">
        <v>10</v>
      </c>
      <c r="E415" s="21" t="s">
        <v>447</v>
      </c>
      <c r="F415" s="21" t="s">
        <v>81</v>
      </c>
      <c r="G415" s="15"/>
      <c r="H415" s="98">
        <f>H416+H417+H418+H419</f>
        <v>1981.37</v>
      </c>
      <c r="I415" s="98">
        <f>I416+I417+I418+I419</f>
        <v>1908.21103</v>
      </c>
      <c r="J415" s="99">
        <f t="shared" si="20"/>
        <v>96.30765732801042</v>
      </c>
    </row>
    <row r="416" spans="1:10" ht="15.75">
      <c r="A416" s="20" t="s">
        <v>191</v>
      </c>
      <c r="B416" s="21" t="s">
        <v>53</v>
      </c>
      <c r="C416" s="21" t="s">
        <v>8</v>
      </c>
      <c r="D416" s="21" t="s">
        <v>10</v>
      </c>
      <c r="E416" s="21" t="s">
        <v>447</v>
      </c>
      <c r="F416" s="21" t="s">
        <v>83</v>
      </c>
      <c r="G416" s="15"/>
      <c r="H416" s="104">
        <v>1242.455</v>
      </c>
      <c r="I416" s="104">
        <v>1189.50878</v>
      </c>
      <c r="J416" s="99">
        <f t="shared" si="20"/>
        <v>95.73858047172735</v>
      </c>
    </row>
    <row r="417" spans="1:10" ht="15.75" hidden="1">
      <c r="A417" s="20" t="s">
        <v>86</v>
      </c>
      <c r="B417" s="21" t="s">
        <v>53</v>
      </c>
      <c r="C417" s="21" t="s">
        <v>8</v>
      </c>
      <c r="D417" s="21" t="s">
        <v>10</v>
      </c>
      <c r="E417" s="21" t="s">
        <v>447</v>
      </c>
      <c r="F417" s="21" t="s">
        <v>85</v>
      </c>
      <c r="G417" s="15"/>
      <c r="H417" s="104"/>
      <c r="I417" s="104"/>
      <c r="J417" s="99" t="e">
        <f t="shared" si="20"/>
        <v>#DIV/0!</v>
      </c>
    </row>
    <row r="418" spans="1:10" ht="47.25">
      <c r="A418" s="20" t="s">
        <v>128</v>
      </c>
      <c r="B418" s="21" t="s">
        <v>53</v>
      </c>
      <c r="C418" s="21" t="s">
        <v>8</v>
      </c>
      <c r="D418" s="21" t="s">
        <v>10</v>
      </c>
      <c r="E418" s="21" t="s">
        <v>447</v>
      </c>
      <c r="F418" s="22" t="s">
        <v>127</v>
      </c>
      <c r="G418" s="23"/>
      <c r="H418" s="104">
        <v>360</v>
      </c>
      <c r="I418" s="104">
        <v>360</v>
      </c>
      <c r="J418" s="99">
        <f t="shared" si="20"/>
        <v>100</v>
      </c>
    </row>
    <row r="419" spans="1:10" ht="31.5">
      <c r="A419" s="20" t="s">
        <v>192</v>
      </c>
      <c r="B419" s="22" t="s">
        <v>53</v>
      </c>
      <c r="C419" s="22" t="s">
        <v>8</v>
      </c>
      <c r="D419" s="22" t="s">
        <v>10</v>
      </c>
      <c r="E419" s="21" t="s">
        <v>447</v>
      </c>
      <c r="F419" s="22" t="s">
        <v>193</v>
      </c>
      <c r="G419" s="23"/>
      <c r="H419" s="98">
        <v>378.915</v>
      </c>
      <c r="I419" s="98">
        <v>358.70225</v>
      </c>
      <c r="J419" s="99">
        <f t="shared" si="20"/>
        <v>94.66562421651294</v>
      </c>
    </row>
    <row r="420" spans="1:10" ht="31.5">
      <c r="A420" s="20" t="s">
        <v>448</v>
      </c>
      <c r="B420" s="22" t="s">
        <v>53</v>
      </c>
      <c r="C420" s="22" t="s">
        <v>8</v>
      </c>
      <c r="D420" s="22" t="s">
        <v>10</v>
      </c>
      <c r="E420" s="21" t="s">
        <v>449</v>
      </c>
      <c r="F420" s="22"/>
      <c r="G420" s="23"/>
      <c r="H420" s="98">
        <f>H423+H426+H421</f>
        <v>423.63</v>
      </c>
      <c r="I420" s="98">
        <f>I423+I426+I421</f>
        <v>412.54569</v>
      </c>
      <c r="J420" s="99">
        <f t="shared" si="20"/>
        <v>97.38349267049075</v>
      </c>
    </row>
    <row r="421" spans="1:10" ht="15.75">
      <c r="A421" s="20" t="s">
        <v>82</v>
      </c>
      <c r="B421" s="21" t="s">
        <v>53</v>
      </c>
      <c r="C421" s="21" t="s">
        <v>8</v>
      </c>
      <c r="D421" s="21" t="s">
        <v>10</v>
      </c>
      <c r="E421" s="21" t="s">
        <v>449</v>
      </c>
      <c r="F421" s="21" t="s">
        <v>81</v>
      </c>
      <c r="G421" s="15"/>
      <c r="H421" s="98">
        <f>H422</f>
        <v>71.685</v>
      </c>
      <c r="I421" s="98">
        <f>I422</f>
        <v>71.685</v>
      </c>
      <c r="J421" s="99">
        <f t="shared" si="20"/>
        <v>100</v>
      </c>
    </row>
    <row r="422" spans="1:10" ht="31.5">
      <c r="A422" s="20" t="s">
        <v>138</v>
      </c>
      <c r="B422" s="21" t="s">
        <v>53</v>
      </c>
      <c r="C422" s="21" t="s">
        <v>8</v>
      </c>
      <c r="D422" s="21" t="s">
        <v>10</v>
      </c>
      <c r="E422" s="21" t="s">
        <v>449</v>
      </c>
      <c r="F422" s="21" t="s">
        <v>85</v>
      </c>
      <c r="G422" s="15"/>
      <c r="H422" s="104">
        <v>71.685</v>
      </c>
      <c r="I422" s="104">
        <v>71.685</v>
      </c>
      <c r="J422" s="99">
        <f t="shared" si="20"/>
        <v>100</v>
      </c>
    </row>
    <row r="423" spans="1:10" ht="15.75">
      <c r="A423" s="20" t="s">
        <v>88</v>
      </c>
      <c r="B423" s="22" t="s">
        <v>53</v>
      </c>
      <c r="C423" s="22" t="s">
        <v>8</v>
      </c>
      <c r="D423" s="22" t="s">
        <v>10</v>
      </c>
      <c r="E423" s="21" t="s">
        <v>449</v>
      </c>
      <c r="F423" s="22" t="s">
        <v>87</v>
      </c>
      <c r="G423" s="23"/>
      <c r="H423" s="98">
        <f>H424+H425</f>
        <v>346.445</v>
      </c>
      <c r="I423" s="98">
        <f>I424+I425</f>
        <v>336.82613</v>
      </c>
      <c r="J423" s="99">
        <f t="shared" si="20"/>
        <v>97.22355063574304</v>
      </c>
    </row>
    <row r="424" spans="1:10" ht="31.5">
      <c r="A424" s="20" t="s">
        <v>92</v>
      </c>
      <c r="B424" s="22" t="s">
        <v>53</v>
      </c>
      <c r="C424" s="22" t="s">
        <v>8</v>
      </c>
      <c r="D424" s="22" t="s">
        <v>10</v>
      </c>
      <c r="E424" s="21" t="s">
        <v>449</v>
      </c>
      <c r="F424" s="22" t="s">
        <v>89</v>
      </c>
      <c r="G424" s="23"/>
      <c r="H424" s="98">
        <f>87.8-14.804</f>
        <v>72.996</v>
      </c>
      <c r="I424" s="98">
        <v>64.96506</v>
      </c>
      <c r="J424" s="99">
        <f t="shared" si="20"/>
        <v>88.99810948545127</v>
      </c>
    </row>
    <row r="425" spans="1:10" ht="15.75">
      <c r="A425" s="20" t="s">
        <v>140</v>
      </c>
      <c r="B425" s="22" t="s">
        <v>53</v>
      </c>
      <c r="C425" s="22" t="s">
        <v>8</v>
      </c>
      <c r="D425" s="22" t="s">
        <v>10</v>
      </c>
      <c r="E425" s="21" t="s">
        <v>449</v>
      </c>
      <c r="F425" s="22" t="s">
        <v>90</v>
      </c>
      <c r="G425" s="23"/>
      <c r="H425" s="98">
        <f>252.145+21.304</f>
        <v>273.449</v>
      </c>
      <c r="I425" s="98">
        <v>271.86107</v>
      </c>
      <c r="J425" s="99">
        <f t="shared" si="20"/>
        <v>99.41929573704785</v>
      </c>
    </row>
    <row r="426" spans="1:10" ht="15.75">
      <c r="A426" s="20" t="s">
        <v>93</v>
      </c>
      <c r="B426" s="22" t="s">
        <v>53</v>
      </c>
      <c r="C426" s="22" t="s">
        <v>8</v>
      </c>
      <c r="D426" s="22" t="s">
        <v>10</v>
      </c>
      <c r="E426" s="21" t="s">
        <v>449</v>
      </c>
      <c r="F426" s="22" t="s">
        <v>94</v>
      </c>
      <c r="G426" s="23"/>
      <c r="H426" s="98">
        <f>H427+H428</f>
        <v>5.5</v>
      </c>
      <c r="I426" s="98">
        <f>I427+I428</f>
        <v>4.03456</v>
      </c>
      <c r="J426" s="99">
        <f t="shared" si="20"/>
        <v>73.35563636363636</v>
      </c>
    </row>
    <row r="427" spans="1:10" ht="15.75">
      <c r="A427" s="20" t="s">
        <v>97</v>
      </c>
      <c r="B427" s="22" t="s">
        <v>53</v>
      </c>
      <c r="C427" s="22" t="s">
        <v>8</v>
      </c>
      <c r="D427" s="22" t="s">
        <v>10</v>
      </c>
      <c r="E427" s="21" t="s">
        <v>449</v>
      </c>
      <c r="F427" s="22" t="s">
        <v>95</v>
      </c>
      <c r="G427" s="23"/>
      <c r="H427" s="98">
        <f>4-2.5</f>
        <v>1.5</v>
      </c>
      <c r="I427" s="98">
        <v>0.855</v>
      </c>
      <c r="J427" s="99">
        <f t="shared" si="20"/>
        <v>56.99999999999999</v>
      </c>
    </row>
    <row r="428" spans="1:10" ht="15.75">
      <c r="A428" s="20" t="s">
        <v>233</v>
      </c>
      <c r="B428" s="22" t="s">
        <v>53</v>
      </c>
      <c r="C428" s="22" t="s">
        <v>8</v>
      </c>
      <c r="D428" s="22" t="s">
        <v>10</v>
      </c>
      <c r="E428" s="21" t="s">
        <v>449</v>
      </c>
      <c r="F428" s="22" t="s">
        <v>96</v>
      </c>
      <c r="G428" s="23"/>
      <c r="H428" s="98">
        <f>8-4</f>
        <v>4</v>
      </c>
      <c r="I428" s="98">
        <v>3.17956</v>
      </c>
      <c r="J428" s="99">
        <f t="shared" si="20"/>
        <v>79.489</v>
      </c>
    </row>
    <row r="429" spans="1:10" ht="15.75">
      <c r="A429" s="20" t="s">
        <v>17</v>
      </c>
      <c r="B429" s="21" t="s">
        <v>53</v>
      </c>
      <c r="C429" s="21" t="s">
        <v>8</v>
      </c>
      <c r="D429" s="21" t="s">
        <v>70</v>
      </c>
      <c r="E429" s="21"/>
      <c r="F429" s="21"/>
      <c r="G429" s="15" t="e">
        <f>#REF!+#REF!+#REF!</f>
        <v>#REF!</v>
      </c>
      <c r="H429" s="98">
        <f aca="true" t="shared" si="21" ref="H429:I431">H430</f>
        <v>98.95</v>
      </c>
      <c r="I429" s="98">
        <f t="shared" si="21"/>
        <v>98.908</v>
      </c>
      <c r="J429" s="99">
        <f t="shared" si="20"/>
        <v>99.95755432036381</v>
      </c>
    </row>
    <row r="430" spans="1:10" ht="47.25">
      <c r="A430" s="20" t="s">
        <v>150</v>
      </c>
      <c r="B430" s="22" t="s">
        <v>53</v>
      </c>
      <c r="C430" s="22" t="s">
        <v>8</v>
      </c>
      <c r="D430" s="21" t="s">
        <v>70</v>
      </c>
      <c r="E430" s="21" t="s">
        <v>450</v>
      </c>
      <c r="F430" s="22"/>
      <c r="G430" s="23" t="e">
        <f>#REF!+#REF!+#REF!</f>
        <v>#REF!</v>
      </c>
      <c r="H430" s="98">
        <f t="shared" si="21"/>
        <v>98.95</v>
      </c>
      <c r="I430" s="98">
        <f t="shared" si="21"/>
        <v>98.908</v>
      </c>
      <c r="J430" s="99">
        <f t="shared" si="20"/>
        <v>99.95755432036381</v>
      </c>
    </row>
    <row r="431" spans="1:10" ht="78.75">
      <c r="A431" s="86" t="s">
        <v>165</v>
      </c>
      <c r="B431" s="22" t="s">
        <v>53</v>
      </c>
      <c r="C431" s="22" t="s">
        <v>8</v>
      </c>
      <c r="D431" s="22" t="s">
        <v>70</v>
      </c>
      <c r="E431" s="22" t="s">
        <v>451</v>
      </c>
      <c r="F431" s="22"/>
      <c r="G431" s="23" t="e">
        <f>#REF!+#REF!+#REF!</f>
        <v>#REF!</v>
      </c>
      <c r="H431" s="100">
        <f t="shared" si="21"/>
        <v>98.95</v>
      </c>
      <c r="I431" s="100">
        <f t="shared" si="21"/>
        <v>98.908</v>
      </c>
      <c r="J431" s="99">
        <f t="shared" si="20"/>
        <v>99.95755432036381</v>
      </c>
    </row>
    <row r="432" spans="1:10" ht="15.75">
      <c r="A432" s="20" t="s">
        <v>140</v>
      </c>
      <c r="B432" s="21" t="s">
        <v>53</v>
      </c>
      <c r="C432" s="21" t="s">
        <v>8</v>
      </c>
      <c r="D432" s="21" t="s">
        <v>70</v>
      </c>
      <c r="E432" s="21" t="s">
        <v>451</v>
      </c>
      <c r="F432" s="21" t="s">
        <v>90</v>
      </c>
      <c r="G432" s="19"/>
      <c r="H432" s="98">
        <v>98.95</v>
      </c>
      <c r="I432" s="98">
        <v>98.908</v>
      </c>
      <c r="J432" s="99">
        <f t="shared" si="20"/>
        <v>99.95755432036381</v>
      </c>
    </row>
    <row r="433" spans="1:10" ht="15.75">
      <c r="A433" s="20" t="s">
        <v>34</v>
      </c>
      <c r="B433" s="21" t="s">
        <v>53</v>
      </c>
      <c r="C433" s="21" t="s">
        <v>20</v>
      </c>
      <c r="D433" s="21" t="s">
        <v>9</v>
      </c>
      <c r="E433" s="21"/>
      <c r="F433" s="21"/>
      <c r="G433" s="19"/>
      <c r="H433" s="98">
        <f aca="true" t="shared" si="22" ref="H433:I436">H434</f>
        <v>3.5</v>
      </c>
      <c r="I433" s="98">
        <f t="shared" si="22"/>
        <v>2</v>
      </c>
      <c r="J433" s="99">
        <f t="shared" si="20"/>
        <v>57.14285714285714</v>
      </c>
    </row>
    <row r="434" spans="1:10" ht="15.75">
      <c r="A434" s="20" t="s">
        <v>36</v>
      </c>
      <c r="B434" s="21" t="s">
        <v>53</v>
      </c>
      <c r="C434" s="21" t="s">
        <v>20</v>
      </c>
      <c r="D434" s="21" t="s">
        <v>10</v>
      </c>
      <c r="E434" s="21"/>
      <c r="F434" s="21"/>
      <c r="G434" s="19"/>
      <c r="H434" s="98">
        <f t="shared" si="22"/>
        <v>3.5</v>
      </c>
      <c r="I434" s="98">
        <f t="shared" si="22"/>
        <v>2</v>
      </c>
      <c r="J434" s="99">
        <f t="shared" si="20"/>
        <v>57.14285714285714</v>
      </c>
    </row>
    <row r="435" spans="1:10" ht="47.25">
      <c r="A435" s="20" t="s">
        <v>150</v>
      </c>
      <c r="B435" s="21" t="s">
        <v>53</v>
      </c>
      <c r="C435" s="21" t="s">
        <v>20</v>
      </c>
      <c r="D435" s="21" t="s">
        <v>10</v>
      </c>
      <c r="E435" s="21" t="s">
        <v>443</v>
      </c>
      <c r="F435" s="21"/>
      <c r="G435" s="19"/>
      <c r="H435" s="98">
        <f t="shared" si="22"/>
        <v>3.5</v>
      </c>
      <c r="I435" s="98">
        <f t="shared" si="22"/>
        <v>2</v>
      </c>
      <c r="J435" s="99">
        <f t="shared" si="20"/>
        <v>57.14285714285714</v>
      </c>
    </row>
    <row r="436" spans="1:10" ht="47.25">
      <c r="A436" s="20" t="s">
        <v>452</v>
      </c>
      <c r="B436" s="21" t="s">
        <v>53</v>
      </c>
      <c r="C436" s="21" t="s">
        <v>20</v>
      </c>
      <c r="D436" s="21" t="s">
        <v>10</v>
      </c>
      <c r="E436" s="21" t="s">
        <v>453</v>
      </c>
      <c r="F436" s="21"/>
      <c r="G436" s="19"/>
      <c r="H436" s="98">
        <f t="shared" si="22"/>
        <v>3.5</v>
      </c>
      <c r="I436" s="98">
        <f t="shared" si="22"/>
        <v>2</v>
      </c>
      <c r="J436" s="99">
        <f t="shared" si="20"/>
        <v>57.14285714285714</v>
      </c>
    </row>
    <row r="437" spans="1:10" ht="31.5">
      <c r="A437" s="20" t="s">
        <v>141</v>
      </c>
      <c r="B437" s="21" t="s">
        <v>53</v>
      </c>
      <c r="C437" s="21" t="s">
        <v>20</v>
      </c>
      <c r="D437" s="21" t="s">
        <v>10</v>
      </c>
      <c r="E437" s="21" t="s">
        <v>453</v>
      </c>
      <c r="F437" s="21" t="s">
        <v>104</v>
      </c>
      <c r="G437" s="19"/>
      <c r="H437" s="98">
        <v>3.5</v>
      </c>
      <c r="I437" s="98">
        <v>2</v>
      </c>
      <c r="J437" s="99">
        <f t="shared" si="20"/>
        <v>57.14285714285714</v>
      </c>
    </row>
    <row r="438" spans="1:10" ht="15.75">
      <c r="A438" s="31"/>
      <c r="B438" s="38"/>
      <c r="C438" s="38"/>
      <c r="D438" s="38"/>
      <c r="E438" s="38"/>
      <c r="F438" s="38"/>
      <c r="G438" s="32"/>
      <c r="H438" s="107"/>
      <c r="I438" s="107"/>
      <c r="J438" s="32"/>
    </row>
    <row r="439" spans="1:10" ht="19.5" thickBot="1">
      <c r="A439" s="87"/>
      <c r="B439" s="28"/>
      <c r="C439" s="28"/>
      <c r="D439" s="28"/>
      <c r="E439" s="28"/>
      <c r="F439" s="28"/>
      <c r="G439" s="32"/>
      <c r="H439" s="103"/>
      <c r="I439" s="103"/>
      <c r="J439" s="29"/>
    </row>
    <row r="440" spans="1:10" ht="31.5">
      <c r="A440" s="35" t="s">
        <v>62</v>
      </c>
      <c r="B440" s="17" t="s">
        <v>117</v>
      </c>
      <c r="C440" s="17" t="s">
        <v>9</v>
      </c>
      <c r="D440" s="17" t="s">
        <v>9</v>
      </c>
      <c r="E440" s="17"/>
      <c r="F440" s="17"/>
      <c r="G440" s="18" t="e">
        <f>#REF!+#REF!+#REF!</f>
        <v>#REF!</v>
      </c>
      <c r="H440" s="97">
        <f>H441+H464</f>
        <v>65593.34707999999</v>
      </c>
      <c r="I440" s="97">
        <f>I441+I464</f>
        <v>64270.46655</v>
      </c>
      <c r="J440" s="99">
        <f aca="true" t="shared" si="23" ref="J440:J503">I440/H440*100</f>
        <v>97.98320929043831</v>
      </c>
    </row>
    <row r="441" spans="1:10" ht="15.75">
      <c r="A441" s="20" t="s">
        <v>25</v>
      </c>
      <c r="B441" s="14" t="s">
        <v>117</v>
      </c>
      <c r="C441" s="14" t="s">
        <v>26</v>
      </c>
      <c r="D441" s="14" t="s">
        <v>9</v>
      </c>
      <c r="E441" s="14"/>
      <c r="F441" s="14"/>
      <c r="G441" s="15" t="e">
        <f>#REF!+#REF!+#REF!</f>
        <v>#REF!</v>
      </c>
      <c r="H441" s="104">
        <f>H442</f>
        <v>39083.2527</v>
      </c>
      <c r="I441" s="104">
        <f>I442</f>
        <v>38737.78414</v>
      </c>
      <c r="J441" s="99">
        <f t="shared" si="23"/>
        <v>99.11607009106488</v>
      </c>
    </row>
    <row r="442" spans="1:10" ht="15.75">
      <c r="A442" s="20" t="s">
        <v>28</v>
      </c>
      <c r="B442" s="14" t="s">
        <v>117</v>
      </c>
      <c r="C442" s="14" t="s">
        <v>26</v>
      </c>
      <c r="D442" s="14" t="s">
        <v>18</v>
      </c>
      <c r="E442" s="14"/>
      <c r="F442" s="14"/>
      <c r="G442" s="15" t="e">
        <f>#REF!+#REF!+#REF!</f>
        <v>#REF!</v>
      </c>
      <c r="H442" s="104">
        <f>H443+H460+H462</f>
        <v>39083.2527</v>
      </c>
      <c r="I442" s="104">
        <f>I443+I460+I462</f>
        <v>38737.78414</v>
      </c>
      <c r="J442" s="99">
        <f t="shared" si="23"/>
        <v>99.11607009106488</v>
      </c>
    </row>
    <row r="443" spans="1:10" ht="47.25">
      <c r="A443" s="20" t="s">
        <v>454</v>
      </c>
      <c r="B443" s="14" t="s">
        <v>117</v>
      </c>
      <c r="C443" s="14" t="s">
        <v>26</v>
      </c>
      <c r="D443" s="14" t="s">
        <v>18</v>
      </c>
      <c r="E443" s="21" t="s">
        <v>455</v>
      </c>
      <c r="F443" s="21"/>
      <c r="G443" s="15" t="e">
        <f>#REF!+#REF!+#REF!</f>
        <v>#REF!</v>
      </c>
      <c r="H443" s="104">
        <f>H444</f>
        <v>37746.521</v>
      </c>
      <c r="I443" s="104">
        <f>I444</f>
        <v>37401.05244000001</v>
      </c>
      <c r="J443" s="99">
        <f t="shared" si="23"/>
        <v>99.08476714979906</v>
      </c>
    </row>
    <row r="444" spans="1:10" ht="47.25">
      <c r="A444" s="20" t="s">
        <v>456</v>
      </c>
      <c r="B444" s="14" t="s">
        <v>117</v>
      </c>
      <c r="C444" s="14" t="s">
        <v>26</v>
      </c>
      <c r="D444" s="14" t="s">
        <v>18</v>
      </c>
      <c r="E444" s="21" t="s">
        <v>457</v>
      </c>
      <c r="F444" s="21"/>
      <c r="G444" s="15" t="e">
        <f>#REF!+#REF!+#REF!</f>
        <v>#REF!</v>
      </c>
      <c r="H444" s="104">
        <f>H445</f>
        <v>37746.521</v>
      </c>
      <c r="I444" s="104">
        <f>I445</f>
        <v>37401.05244000001</v>
      </c>
      <c r="J444" s="99">
        <f t="shared" si="23"/>
        <v>99.08476714979906</v>
      </c>
    </row>
    <row r="445" spans="1:10" ht="31.5">
      <c r="A445" s="20" t="s">
        <v>458</v>
      </c>
      <c r="B445" s="14" t="s">
        <v>117</v>
      </c>
      <c r="C445" s="14" t="s">
        <v>26</v>
      </c>
      <c r="D445" s="14" t="s">
        <v>18</v>
      </c>
      <c r="E445" s="21" t="s">
        <v>459</v>
      </c>
      <c r="F445" s="21"/>
      <c r="G445" s="15"/>
      <c r="H445" s="104">
        <f>H446+H448+H450+H452+H454+H456+H458</f>
        <v>37746.521</v>
      </c>
      <c r="I445" s="104">
        <f>I446+I448+I450+I452+I454+I456+I458</f>
        <v>37401.05244000001</v>
      </c>
      <c r="J445" s="99">
        <f t="shared" si="23"/>
        <v>99.08476714979906</v>
      </c>
    </row>
    <row r="446" spans="1:10" ht="31.5">
      <c r="A446" s="20" t="s">
        <v>460</v>
      </c>
      <c r="B446" s="14" t="s">
        <v>117</v>
      </c>
      <c r="C446" s="14" t="s">
        <v>26</v>
      </c>
      <c r="D446" s="14" t="s">
        <v>18</v>
      </c>
      <c r="E446" s="21" t="s">
        <v>461</v>
      </c>
      <c r="F446" s="21"/>
      <c r="G446" s="15"/>
      <c r="H446" s="104">
        <f>H447</f>
        <v>34999.921</v>
      </c>
      <c r="I446" s="104">
        <f>I447</f>
        <v>34999.921</v>
      </c>
      <c r="J446" s="99">
        <f t="shared" si="23"/>
        <v>100</v>
      </c>
    </row>
    <row r="447" spans="1:10" ht="47.25">
      <c r="A447" s="20" t="s">
        <v>114</v>
      </c>
      <c r="B447" s="14" t="s">
        <v>117</v>
      </c>
      <c r="C447" s="14" t="s">
        <v>26</v>
      </c>
      <c r="D447" s="14" t="s">
        <v>18</v>
      </c>
      <c r="E447" s="21" t="s">
        <v>461</v>
      </c>
      <c r="F447" s="21" t="s">
        <v>101</v>
      </c>
      <c r="G447" s="15"/>
      <c r="H447" s="104">
        <v>34999.921</v>
      </c>
      <c r="I447" s="104">
        <v>34999.921</v>
      </c>
      <c r="J447" s="99">
        <f t="shared" si="23"/>
        <v>100</v>
      </c>
    </row>
    <row r="448" spans="1:10" ht="31.5">
      <c r="A448" s="20" t="s">
        <v>462</v>
      </c>
      <c r="B448" s="14" t="s">
        <v>117</v>
      </c>
      <c r="C448" s="14" t="s">
        <v>26</v>
      </c>
      <c r="D448" s="14" t="s">
        <v>18</v>
      </c>
      <c r="E448" s="21" t="s">
        <v>463</v>
      </c>
      <c r="F448" s="21"/>
      <c r="G448" s="15"/>
      <c r="H448" s="104">
        <f>H449</f>
        <v>1815</v>
      </c>
      <c r="I448" s="104">
        <f>I449</f>
        <v>1682.48707</v>
      </c>
      <c r="J448" s="99">
        <f t="shared" si="23"/>
        <v>92.69901212121212</v>
      </c>
    </row>
    <row r="449" spans="1:10" ht="47.25">
      <c r="A449" s="20" t="s">
        <v>114</v>
      </c>
      <c r="B449" s="14" t="s">
        <v>117</v>
      </c>
      <c r="C449" s="14" t="s">
        <v>26</v>
      </c>
      <c r="D449" s="14" t="s">
        <v>18</v>
      </c>
      <c r="E449" s="21" t="s">
        <v>463</v>
      </c>
      <c r="F449" s="21" t="s">
        <v>101</v>
      </c>
      <c r="G449" s="15"/>
      <c r="H449" s="104">
        <v>1815</v>
      </c>
      <c r="I449" s="104">
        <v>1682.48707</v>
      </c>
      <c r="J449" s="99">
        <f t="shared" si="23"/>
        <v>92.69901212121212</v>
      </c>
    </row>
    <row r="450" spans="1:10" ht="31.5">
      <c r="A450" s="20" t="s">
        <v>464</v>
      </c>
      <c r="B450" s="14" t="s">
        <v>117</v>
      </c>
      <c r="C450" s="14" t="s">
        <v>26</v>
      </c>
      <c r="D450" s="14" t="s">
        <v>18</v>
      </c>
      <c r="E450" s="21" t="s">
        <v>465</v>
      </c>
      <c r="F450" s="21"/>
      <c r="G450" s="15"/>
      <c r="H450" s="104">
        <f>H451</f>
        <v>43.2</v>
      </c>
      <c r="I450" s="104">
        <f>I451</f>
        <v>43.2</v>
      </c>
      <c r="J450" s="99">
        <f t="shared" si="23"/>
        <v>100</v>
      </c>
    </row>
    <row r="451" spans="1:10" ht="15.75">
      <c r="A451" s="20" t="s">
        <v>116</v>
      </c>
      <c r="B451" s="14" t="s">
        <v>117</v>
      </c>
      <c r="C451" s="14" t="s">
        <v>26</v>
      </c>
      <c r="D451" s="14" t="s">
        <v>18</v>
      </c>
      <c r="E451" s="21" t="s">
        <v>465</v>
      </c>
      <c r="F451" s="21" t="s">
        <v>115</v>
      </c>
      <c r="G451" s="15"/>
      <c r="H451" s="104">
        <v>43.2</v>
      </c>
      <c r="I451" s="104">
        <v>43.2</v>
      </c>
      <c r="J451" s="99">
        <f t="shared" si="23"/>
        <v>100</v>
      </c>
    </row>
    <row r="452" spans="1:10" ht="63">
      <c r="A452" s="20" t="s">
        <v>466</v>
      </c>
      <c r="B452" s="14" t="s">
        <v>117</v>
      </c>
      <c r="C452" s="14" t="s">
        <v>26</v>
      </c>
      <c r="D452" s="14" t="s">
        <v>18</v>
      </c>
      <c r="E452" s="21" t="s">
        <v>467</v>
      </c>
      <c r="F452" s="21"/>
      <c r="G452" s="15"/>
      <c r="H452" s="104">
        <f>H453</f>
        <v>130.854</v>
      </c>
      <c r="I452" s="104">
        <f>I453</f>
        <v>106.675</v>
      </c>
      <c r="J452" s="99">
        <f t="shared" si="23"/>
        <v>81.52215446222506</v>
      </c>
    </row>
    <row r="453" spans="1:10" ht="47.25">
      <c r="A453" s="20" t="s">
        <v>114</v>
      </c>
      <c r="B453" s="14" t="s">
        <v>117</v>
      </c>
      <c r="C453" s="14" t="s">
        <v>26</v>
      </c>
      <c r="D453" s="14" t="s">
        <v>18</v>
      </c>
      <c r="E453" s="21" t="s">
        <v>467</v>
      </c>
      <c r="F453" s="21" t="s">
        <v>101</v>
      </c>
      <c r="G453" s="15"/>
      <c r="H453" s="104">
        <v>130.854</v>
      </c>
      <c r="I453" s="104">
        <v>106.675</v>
      </c>
      <c r="J453" s="99">
        <f t="shared" si="23"/>
        <v>81.52215446222506</v>
      </c>
    </row>
    <row r="454" spans="1:10" ht="31.5" hidden="1">
      <c r="A454" s="20" t="s">
        <v>468</v>
      </c>
      <c r="B454" s="14" t="s">
        <v>117</v>
      </c>
      <c r="C454" s="14" t="s">
        <v>26</v>
      </c>
      <c r="D454" s="14" t="s">
        <v>18</v>
      </c>
      <c r="E454" s="21" t="s">
        <v>469</v>
      </c>
      <c r="F454" s="21"/>
      <c r="G454" s="15"/>
      <c r="H454" s="104">
        <f>H455</f>
        <v>0</v>
      </c>
      <c r="I454" s="104">
        <f>I455</f>
        <v>0</v>
      </c>
      <c r="J454" s="99" t="e">
        <f t="shared" si="23"/>
        <v>#DIV/0!</v>
      </c>
    </row>
    <row r="455" spans="1:10" ht="47.25" hidden="1">
      <c r="A455" s="20" t="s">
        <v>156</v>
      </c>
      <c r="B455" s="14" t="s">
        <v>117</v>
      </c>
      <c r="C455" s="14" t="s">
        <v>26</v>
      </c>
      <c r="D455" s="14" t="s">
        <v>18</v>
      </c>
      <c r="E455" s="21" t="s">
        <v>469</v>
      </c>
      <c r="F455" s="21" t="s">
        <v>101</v>
      </c>
      <c r="G455" s="15"/>
      <c r="H455" s="104"/>
      <c r="I455" s="104"/>
      <c r="J455" s="99" t="e">
        <f t="shared" si="23"/>
        <v>#DIV/0!</v>
      </c>
    </row>
    <row r="456" spans="1:10" ht="31.5">
      <c r="A456" s="20" t="s">
        <v>470</v>
      </c>
      <c r="B456" s="14" t="s">
        <v>117</v>
      </c>
      <c r="C456" s="14" t="s">
        <v>26</v>
      </c>
      <c r="D456" s="14" t="s">
        <v>18</v>
      </c>
      <c r="E456" s="21" t="s">
        <v>471</v>
      </c>
      <c r="F456" s="21"/>
      <c r="G456" s="15"/>
      <c r="H456" s="104">
        <f>H457</f>
        <v>757.546</v>
      </c>
      <c r="I456" s="104">
        <f>I457</f>
        <v>568.76937</v>
      </c>
      <c r="J456" s="99">
        <f t="shared" si="23"/>
        <v>75.08050600227575</v>
      </c>
    </row>
    <row r="457" spans="1:10" ht="47.25">
      <c r="A457" s="20" t="s">
        <v>114</v>
      </c>
      <c r="B457" s="14" t="s">
        <v>117</v>
      </c>
      <c r="C457" s="14" t="s">
        <v>26</v>
      </c>
      <c r="D457" s="14" t="s">
        <v>18</v>
      </c>
      <c r="E457" s="21" t="s">
        <v>471</v>
      </c>
      <c r="F457" s="21" t="s">
        <v>101</v>
      </c>
      <c r="G457" s="15"/>
      <c r="H457" s="104">
        <v>757.546</v>
      </c>
      <c r="I457" s="104">
        <v>568.76937</v>
      </c>
      <c r="J457" s="99">
        <f t="shared" si="23"/>
        <v>75.08050600227575</v>
      </c>
    </row>
    <row r="458" spans="1:10" ht="47.25" hidden="1">
      <c r="A458" s="20" t="s">
        <v>395</v>
      </c>
      <c r="B458" s="14" t="s">
        <v>117</v>
      </c>
      <c r="C458" s="14" t="s">
        <v>26</v>
      </c>
      <c r="D458" s="14" t="s">
        <v>18</v>
      </c>
      <c r="E458" s="21" t="s">
        <v>472</v>
      </c>
      <c r="F458" s="21"/>
      <c r="G458" s="15"/>
      <c r="H458" s="104">
        <f>H459</f>
        <v>0</v>
      </c>
      <c r="I458" s="104">
        <f>I459</f>
        <v>0</v>
      </c>
      <c r="J458" s="99" t="e">
        <f t="shared" si="23"/>
        <v>#DIV/0!</v>
      </c>
    </row>
    <row r="459" spans="1:10" ht="47.25" hidden="1">
      <c r="A459" s="20" t="s">
        <v>114</v>
      </c>
      <c r="B459" s="14" t="s">
        <v>117</v>
      </c>
      <c r="C459" s="14" t="s">
        <v>26</v>
      </c>
      <c r="D459" s="14" t="s">
        <v>18</v>
      </c>
      <c r="E459" s="21" t="s">
        <v>472</v>
      </c>
      <c r="F459" s="21" t="s">
        <v>101</v>
      </c>
      <c r="G459" s="15"/>
      <c r="H459" s="104">
        <f>2.5-2.5</f>
        <v>0</v>
      </c>
      <c r="I459" s="104">
        <f>2.5-2.5</f>
        <v>0</v>
      </c>
      <c r="J459" s="99" t="e">
        <f t="shared" si="23"/>
        <v>#DIV/0!</v>
      </c>
    </row>
    <row r="460" spans="1:10" ht="15.75">
      <c r="A460" s="20" t="s">
        <v>473</v>
      </c>
      <c r="B460" s="14" t="s">
        <v>117</v>
      </c>
      <c r="C460" s="14" t="s">
        <v>26</v>
      </c>
      <c r="D460" s="14" t="s">
        <v>18</v>
      </c>
      <c r="E460" s="21" t="s">
        <v>474</v>
      </c>
      <c r="F460" s="21"/>
      <c r="G460" s="15"/>
      <c r="H460" s="104">
        <f>H461</f>
        <v>1028.6</v>
      </c>
      <c r="I460" s="104">
        <f>I461</f>
        <v>1028.6</v>
      </c>
      <c r="J460" s="99">
        <f t="shared" si="23"/>
        <v>100</v>
      </c>
    </row>
    <row r="461" spans="1:10" ht="15.75">
      <c r="A461" s="20" t="s">
        <v>116</v>
      </c>
      <c r="B461" s="14" t="s">
        <v>117</v>
      </c>
      <c r="C461" s="14" t="s">
        <v>26</v>
      </c>
      <c r="D461" s="14" t="s">
        <v>18</v>
      </c>
      <c r="E461" s="21" t="s">
        <v>474</v>
      </c>
      <c r="F461" s="21" t="s">
        <v>115</v>
      </c>
      <c r="G461" s="15"/>
      <c r="H461" s="109">
        <f>280.6+748</f>
        <v>1028.6</v>
      </c>
      <c r="I461" s="109">
        <f>280.6+748</f>
        <v>1028.6</v>
      </c>
      <c r="J461" s="99">
        <f t="shared" si="23"/>
        <v>100</v>
      </c>
    </row>
    <row r="462" spans="1:10" ht="31.5">
      <c r="A462" s="20" t="s">
        <v>475</v>
      </c>
      <c r="B462" s="14" t="s">
        <v>117</v>
      </c>
      <c r="C462" s="14" t="s">
        <v>26</v>
      </c>
      <c r="D462" s="14" t="s">
        <v>18</v>
      </c>
      <c r="E462" s="21" t="s">
        <v>476</v>
      </c>
      <c r="F462" s="21"/>
      <c r="G462" s="15"/>
      <c r="H462" s="104">
        <f>H463</f>
        <v>308.1317</v>
      </c>
      <c r="I462" s="104">
        <f>I463</f>
        <v>308.1317</v>
      </c>
      <c r="J462" s="99">
        <f t="shared" si="23"/>
        <v>100</v>
      </c>
    </row>
    <row r="463" spans="1:10" ht="15.75">
      <c r="A463" s="20" t="s">
        <v>116</v>
      </c>
      <c r="B463" s="14" t="s">
        <v>117</v>
      </c>
      <c r="C463" s="14" t="s">
        <v>26</v>
      </c>
      <c r="D463" s="14" t="s">
        <v>18</v>
      </c>
      <c r="E463" s="21" t="s">
        <v>476</v>
      </c>
      <c r="F463" s="21" t="s">
        <v>115</v>
      </c>
      <c r="G463" s="15"/>
      <c r="H463" s="109">
        <v>308.1317</v>
      </c>
      <c r="I463" s="109">
        <v>308.1317</v>
      </c>
      <c r="J463" s="99">
        <f t="shared" si="23"/>
        <v>100</v>
      </c>
    </row>
    <row r="464" spans="1:10" ht="15.75">
      <c r="A464" s="20" t="s">
        <v>79</v>
      </c>
      <c r="B464" s="14" t="s">
        <v>117</v>
      </c>
      <c r="C464" s="14" t="s">
        <v>31</v>
      </c>
      <c r="D464" s="14" t="s">
        <v>9</v>
      </c>
      <c r="E464" s="21"/>
      <c r="F464" s="21"/>
      <c r="G464" s="15" t="e">
        <f>#REF!+#REF!+#REF!</f>
        <v>#REF!</v>
      </c>
      <c r="H464" s="104">
        <f>H465+H505</f>
        <v>26510.094379999995</v>
      </c>
      <c r="I464" s="104">
        <f>I465+I505</f>
        <v>25532.682409999994</v>
      </c>
      <c r="J464" s="99">
        <f t="shared" si="23"/>
        <v>96.31305737358147</v>
      </c>
    </row>
    <row r="465" spans="1:10" ht="15.75">
      <c r="A465" s="20" t="s">
        <v>32</v>
      </c>
      <c r="B465" s="14" t="s">
        <v>117</v>
      </c>
      <c r="C465" s="14" t="s">
        <v>31</v>
      </c>
      <c r="D465" s="14" t="s">
        <v>8</v>
      </c>
      <c r="E465" s="21"/>
      <c r="F465" s="21"/>
      <c r="G465" s="15" t="e">
        <f>#REF!+#REF!+#REF!</f>
        <v>#REF!</v>
      </c>
      <c r="H465" s="104">
        <f>H466+H500+H503</f>
        <v>20573.794379999996</v>
      </c>
      <c r="I465" s="104">
        <f>I466+I500+I503</f>
        <v>19974.909029999995</v>
      </c>
      <c r="J465" s="99">
        <f t="shared" si="23"/>
        <v>97.089086539223</v>
      </c>
    </row>
    <row r="466" spans="1:10" ht="47.25">
      <c r="A466" s="20" t="s">
        <v>454</v>
      </c>
      <c r="B466" s="14" t="s">
        <v>117</v>
      </c>
      <c r="C466" s="21" t="s">
        <v>31</v>
      </c>
      <c r="D466" s="21" t="s">
        <v>8</v>
      </c>
      <c r="E466" s="21" t="s">
        <v>455</v>
      </c>
      <c r="F466" s="21"/>
      <c r="G466" s="15" t="e">
        <f>#REF!+#REF!+#REF!</f>
        <v>#REF!</v>
      </c>
      <c r="H466" s="104">
        <f>H467</f>
        <v>20469.494379999996</v>
      </c>
      <c r="I466" s="104">
        <f>I467</f>
        <v>19870.609029999996</v>
      </c>
      <c r="J466" s="99">
        <f t="shared" si="23"/>
        <v>97.0742543079855</v>
      </c>
    </row>
    <row r="467" spans="1:10" ht="31.5">
      <c r="A467" s="20" t="s">
        <v>477</v>
      </c>
      <c r="B467" s="14" t="s">
        <v>117</v>
      </c>
      <c r="C467" s="21" t="s">
        <v>31</v>
      </c>
      <c r="D467" s="21" t="s">
        <v>8</v>
      </c>
      <c r="E467" s="21" t="s">
        <v>478</v>
      </c>
      <c r="F467" s="21"/>
      <c r="G467" s="15" t="e">
        <f>#REF!+#REF!+#REF!</f>
        <v>#REF!</v>
      </c>
      <c r="H467" s="98">
        <f>H468+H481+H495</f>
        <v>20469.494379999996</v>
      </c>
      <c r="I467" s="98">
        <f>I468+I481+I495</f>
        <v>19870.609029999996</v>
      </c>
      <c r="J467" s="99">
        <f t="shared" si="23"/>
        <v>97.0742543079855</v>
      </c>
    </row>
    <row r="468" spans="1:10" ht="31.5">
      <c r="A468" s="20" t="s">
        <v>479</v>
      </c>
      <c r="B468" s="14" t="s">
        <v>117</v>
      </c>
      <c r="C468" s="21" t="s">
        <v>31</v>
      </c>
      <c r="D468" s="21" t="s">
        <v>8</v>
      </c>
      <c r="E468" s="21" t="s">
        <v>421</v>
      </c>
      <c r="F468" s="21"/>
      <c r="G468" s="15"/>
      <c r="H468" s="98">
        <f>H469+H471+H473+H475+H477+H479</f>
        <v>8838.73</v>
      </c>
      <c r="I468" s="98">
        <f>I469+I471+I473+I475+I477+I479</f>
        <v>8618.39522</v>
      </c>
      <c r="J468" s="99">
        <f t="shared" si="23"/>
        <v>97.50716697987156</v>
      </c>
    </row>
    <row r="469" spans="1:10" ht="47.25">
      <c r="A469" s="20" t="s">
        <v>480</v>
      </c>
      <c r="B469" s="14" t="s">
        <v>117</v>
      </c>
      <c r="C469" s="21" t="s">
        <v>31</v>
      </c>
      <c r="D469" s="21" t="s">
        <v>8</v>
      </c>
      <c r="E469" s="21" t="s">
        <v>481</v>
      </c>
      <c r="F469" s="21"/>
      <c r="G469" s="15"/>
      <c r="H469" s="98">
        <f>H470</f>
        <v>7159.761</v>
      </c>
      <c r="I469" s="98">
        <f>I470</f>
        <v>7159.761</v>
      </c>
      <c r="J469" s="99">
        <f t="shared" si="23"/>
        <v>100</v>
      </c>
    </row>
    <row r="470" spans="1:10" ht="47.25">
      <c r="A470" s="20" t="s">
        <v>114</v>
      </c>
      <c r="B470" s="14" t="s">
        <v>117</v>
      </c>
      <c r="C470" s="21" t="s">
        <v>31</v>
      </c>
      <c r="D470" s="21" t="s">
        <v>8</v>
      </c>
      <c r="E470" s="21" t="s">
        <v>481</v>
      </c>
      <c r="F470" s="21" t="s">
        <v>101</v>
      </c>
      <c r="G470" s="15"/>
      <c r="H470" s="98">
        <v>7159.761</v>
      </c>
      <c r="I470" s="98">
        <v>7159.761</v>
      </c>
      <c r="J470" s="99">
        <f t="shared" si="23"/>
        <v>100</v>
      </c>
    </row>
    <row r="471" spans="1:10" ht="31.5">
      <c r="A471" s="20" t="s">
        <v>482</v>
      </c>
      <c r="B471" s="14" t="s">
        <v>117</v>
      </c>
      <c r="C471" s="21" t="s">
        <v>31</v>
      </c>
      <c r="D471" s="21" t="s">
        <v>8</v>
      </c>
      <c r="E471" s="21" t="s">
        <v>483</v>
      </c>
      <c r="F471" s="21"/>
      <c r="G471" s="15"/>
      <c r="H471" s="104">
        <f>H472</f>
        <v>728.3</v>
      </c>
      <c r="I471" s="104">
        <f>I472</f>
        <v>661.95216</v>
      </c>
      <c r="J471" s="99">
        <f t="shared" si="23"/>
        <v>90.89003981875602</v>
      </c>
    </row>
    <row r="472" spans="1:10" ht="47.25">
      <c r="A472" s="20" t="s">
        <v>114</v>
      </c>
      <c r="B472" s="14" t="s">
        <v>117</v>
      </c>
      <c r="C472" s="21" t="s">
        <v>31</v>
      </c>
      <c r="D472" s="21" t="s">
        <v>8</v>
      </c>
      <c r="E472" s="21" t="s">
        <v>483</v>
      </c>
      <c r="F472" s="21" t="s">
        <v>101</v>
      </c>
      <c r="G472" s="15"/>
      <c r="H472" s="98">
        <v>728.3</v>
      </c>
      <c r="I472" s="98">
        <v>661.95216</v>
      </c>
      <c r="J472" s="99">
        <f t="shared" si="23"/>
        <v>90.89003981875602</v>
      </c>
    </row>
    <row r="473" spans="1:10" ht="47.25">
      <c r="A473" s="20" t="s">
        <v>484</v>
      </c>
      <c r="B473" s="14" t="s">
        <v>117</v>
      </c>
      <c r="C473" s="21" t="s">
        <v>31</v>
      </c>
      <c r="D473" s="21" t="s">
        <v>8</v>
      </c>
      <c r="E473" s="21" t="s">
        <v>485</v>
      </c>
      <c r="F473" s="21"/>
      <c r="G473" s="15"/>
      <c r="H473" s="104">
        <f>H474</f>
        <v>42</v>
      </c>
      <c r="I473" s="104">
        <f>I474</f>
        <v>42</v>
      </c>
      <c r="J473" s="99">
        <f t="shared" si="23"/>
        <v>100</v>
      </c>
    </row>
    <row r="474" spans="1:10" ht="15.75">
      <c r="A474" s="20" t="s">
        <v>116</v>
      </c>
      <c r="B474" s="14" t="s">
        <v>117</v>
      </c>
      <c r="C474" s="21" t="s">
        <v>31</v>
      </c>
      <c r="D474" s="21" t="s">
        <v>8</v>
      </c>
      <c r="E474" s="21" t="s">
        <v>485</v>
      </c>
      <c r="F474" s="21" t="s">
        <v>115</v>
      </c>
      <c r="G474" s="15"/>
      <c r="H474" s="98">
        <v>42</v>
      </c>
      <c r="I474" s="98">
        <v>42</v>
      </c>
      <c r="J474" s="99">
        <f t="shared" si="23"/>
        <v>100</v>
      </c>
    </row>
    <row r="475" spans="1:10" ht="63">
      <c r="A475" s="20" t="s">
        <v>486</v>
      </c>
      <c r="B475" s="14" t="s">
        <v>117</v>
      </c>
      <c r="C475" s="21" t="s">
        <v>31</v>
      </c>
      <c r="D475" s="21" t="s">
        <v>8</v>
      </c>
      <c r="E475" s="21" t="s">
        <v>487</v>
      </c>
      <c r="F475" s="21"/>
      <c r="G475" s="15"/>
      <c r="H475" s="104">
        <f>H476</f>
        <v>126.4</v>
      </c>
      <c r="I475" s="104">
        <f>I476</f>
        <v>126.4</v>
      </c>
      <c r="J475" s="99">
        <f t="shared" si="23"/>
        <v>100</v>
      </c>
    </row>
    <row r="476" spans="1:10" ht="47.25">
      <c r="A476" s="20" t="s">
        <v>114</v>
      </c>
      <c r="B476" s="14" t="s">
        <v>117</v>
      </c>
      <c r="C476" s="21" t="s">
        <v>31</v>
      </c>
      <c r="D476" s="21" t="s">
        <v>8</v>
      </c>
      <c r="E476" s="21" t="s">
        <v>487</v>
      </c>
      <c r="F476" s="21" t="s">
        <v>101</v>
      </c>
      <c r="G476" s="15"/>
      <c r="H476" s="104">
        <v>126.4</v>
      </c>
      <c r="I476" s="104">
        <v>126.4</v>
      </c>
      <c r="J476" s="99">
        <f t="shared" si="23"/>
        <v>100</v>
      </c>
    </row>
    <row r="477" spans="1:10" ht="31.5" hidden="1">
      <c r="A477" s="20" t="s">
        <v>488</v>
      </c>
      <c r="B477" s="14" t="s">
        <v>117</v>
      </c>
      <c r="C477" s="21" t="s">
        <v>31</v>
      </c>
      <c r="D477" s="21" t="s">
        <v>8</v>
      </c>
      <c r="E477" s="21" t="s">
        <v>489</v>
      </c>
      <c r="F477" s="21"/>
      <c r="G477" s="15"/>
      <c r="H477" s="104">
        <f>H478</f>
        <v>0</v>
      </c>
      <c r="I477" s="104">
        <f>I478</f>
        <v>0</v>
      </c>
      <c r="J477" s="99" t="e">
        <f t="shared" si="23"/>
        <v>#DIV/0!</v>
      </c>
    </row>
    <row r="478" spans="1:10" ht="15.75" hidden="1">
      <c r="A478" s="20" t="s">
        <v>116</v>
      </c>
      <c r="B478" s="14" t="s">
        <v>117</v>
      </c>
      <c r="C478" s="21" t="s">
        <v>31</v>
      </c>
      <c r="D478" s="21" t="s">
        <v>8</v>
      </c>
      <c r="E478" s="21" t="s">
        <v>489</v>
      </c>
      <c r="F478" s="21" t="s">
        <v>115</v>
      </c>
      <c r="G478" s="15"/>
      <c r="H478" s="104"/>
      <c r="I478" s="104"/>
      <c r="J478" s="99" t="e">
        <f t="shared" si="23"/>
        <v>#DIV/0!</v>
      </c>
    </row>
    <row r="479" spans="1:10" ht="31.5">
      <c r="A479" s="20" t="s">
        <v>490</v>
      </c>
      <c r="B479" s="14" t="s">
        <v>117</v>
      </c>
      <c r="C479" s="21" t="s">
        <v>31</v>
      </c>
      <c r="D479" s="21" t="s">
        <v>8</v>
      </c>
      <c r="E479" s="21" t="s">
        <v>491</v>
      </c>
      <c r="F479" s="21"/>
      <c r="G479" s="15"/>
      <c r="H479" s="104">
        <f>H480</f>
        <v>782.269</v>
      </c>
      <c r="I479" s="104">
        <f>I480</f>
        <v>628.28206</v>
      </c>
      <c r="J479" s="99">
        <f t="shared" si="23"/>
        <v>80.315346766905</v>
      </c>
    </row>
    <row r="480" spans="1:10" ht="47.25">
      <c r="A480" s="20" t="s">
        <v>114</v>
      </c>
      <c r="B480" s="14" t="s">
        <v>117</v>
      </c>
      <c r="C480" s="21" t="s">
        <v>31</v>
      </c>
      <c r="D480" s="21" t="s">
        <v>8</v>
      </c>
      <c r="E480" s="21" t="s">
        <v>491</v>
      </c>
      <c r="F480" s="21" t="s">
        <v>101</v>
      </c>
      <c r="G480" s="15"/>
      <c r="H480" s="104">
        <v>782.269</v>
      </c>
      <c r="I480" s="104">
        <v>628.28206</v>
      </c>
      <c r="J480" s="99">
        <f t="shared" si="23"/>
        <v>80.315346766905</v>
      </c>
    </row>
    <row r="481" spans="1:10" ht="31.5">
      <c r="A481" s="20" t="s">
        <v>492</v>
      </c>
      <c r="B481" s="14" t="s">
        <v>117</v>
      </c>
      <c r="C481" s="21" t="s">
        <v>31</v>
      </c>
      <c r="D481" s="21" t="s">
        <v>8</v>
      </c>
      <c r="E481" s="21" t="s">
        <v>493</v>
      </c>
      <c r="F481" s="21"/>
      <c r="G481" s="15" t="e">
        <f>#REF!+#REF!+#REF!</f>
        <v>#REF!</v>
      </c>
      <c r="H481" s="104">
        <f>H482+H484+H486+H488+H490+H493</f>
        <v>9730.241379999998</v>
      </c>
      <c r="I481" s="104">
        <f>I482+I484+I486+I488+I490+I493</f>
        <v>9497.828809999999</v>
      </c>
      <c r="J481" s="99">
        <f t="shared" si="23"/>
        <v>97.6114408582123</v>
      </c>
    </row>
    <row r="482" spans="1:10" ht="47.25">
      <c r="A482" s="20" t="s">
        <v>494</v>
      </c>
      <c r="B482" s="14" t="s">
        <v>117</v>
      </c>
      <c r="C482" s="21" t="s">
        <v>31</v>
      </c>
      <c r="D482" s="21" t="s">
        <v>8</v>
      </c>
      <c r="E482" s="21" t="s">
        <v>495</v>
      </c>
      <c r="F482" s="21"/>
      <c r="G482" s="15" t="e">
        <f>#REF!+#REF!+#REF!</f>
        <v>#REF!</v>
      </c>
      <c r="H482" s="104">
        <f>H483</f>
        <v>6659.3</v>
      </c>
      <c r="I482" s="104">
        <f>I483</f>
        <v>6659.3</v>
      </c>
      <c r="J482" s="99">
        <f t="shared" si="23"/>
        <v>100</v>
      </c>
    </row>
    <row r="483" spans="1:10" ht="47.25">
      <c r="A483" s="20" t="s">
        <v>113</v>
      </c>
      <c r="B483" s="14" t="s">
        <v>117</v>
      </c>
      <c r="C483" s="21" t="s">
        <v>31</v>
      </c>
      <c r="D483" s="21" t="s">
        <v>8</v>
      </c>
      <c r="E483" s="21" t="s">
        <v>495</v>
      </c>
      <c r="F483" s="21" t="s">
        <v>112</v>
      </c>
      <c r="G483" s="15"/>
      <c r="H483" s="104">
        <v>6659.3</v>
      </c>
      <c r="I483" s="104">
        <v>6659.3</v>
      </c>
      <c r="J483" s="99">
        <f t="shared" si="23"/>
        <v>100</v>
      </c>
    </row>
    <row r="484" spans="1:10" ht="47.25">
      <c r="A484" s="20" t="s">
        <v>496</v>
      </c>
      <c r="B484" s="14" t="s">
        <v>117</v>
      </c>
      <c r="C484" s="21" t="s">
        <v>31</v>
      </c>
      <c r="D484" s="21" t="s">
        <v>8</v>
      </c>
      <c r="E484" s="21" t="s">
        <v>497</v>
      </c>
      <c r="F484" s="21"/>
      <c r="G484" s="15"/>
      <c r="H484" s="104">
        <f>H485</f>
        <v>1815.1</v>
      </c>
      <c r="I484" s="104">
        <f>I485</f>
        <v>1648.54679</v>
      </c>
      <c r="J484" s="99">
        <f t="shared" si="23"/>
        <v>90.8240201641783</v>
      </c>
    </row>
    <row r="485" spans="1:10" ht="47.25">
      <c r="A485" s="20" t="s">
        <v>113</v>
      </c>
      <c r="B485" s="14" t="s">
        <v>117</v>
      </c>
      <c r="C485" s="21" t="s">
        <v>31</v>
      </c>
      <c r="D485" s="21" t="s">
        <v>8</v>
      </c>
      <c r="E485" s="21" t="s">
        <v>497</v>
      </c>
      <c r="F485" s="21" t="s">
        <v>112</v>
      </c>
      <c r="G485" s="15"/>
      <c r="H485" s="104">
        <v>1815.1</v>
      </c>
      <c r="I485" s="104">
        <v>1648.54679</v>
      </c>
      <c r="J485" s="99">
        <f t="shared" si="23"/>
        <v>90.8240201641783</v>
      </c>
    </row>
    <row r="486" spans="1:10" ht="47.25">
      <c r="A486" s="20" t="s">
        <v>498</v>
      </c>
      <c r="B486" s="14" t="s">
        <v>117</v>
      </c>
      <c r="C486" s="21" t="s">
        <v>31</v>
      </c>
      <c r="D486" s="21" t="s">
        <v>8</v>
      </c>
      <c r="E486" s="21" t="s">
        <v>499</v>
      </c>
      <c r="F486" s="21"/>
      <c r="G486" s="15"/>
      <c r="H486" s="104">
        <f>H487</f>
        <v>26.4</v>
      </c>
      <c r="I486" s="104">
        <f>I487</f>
        <v>26.4</v>
      </c>
      <c r="J486" s="99">
        <f t="shared" si="23"/>
        <v>100</v>
      </c>
    </row>
    <row r="487" spans="1:10" ht="15.75">
      <c r="A487" s="20" t="s">
        <v>126</v>
      </c>
      <c r="B487" s="14" t="s">
        <v>117</v>
      </c>
      <c r="C487" s="21" t="s">
        <v>31</v>
      </c>
      <c r="D487" s="21" t="s">
        <v>8</v>
      </c>
      <c r="E487" s="21" t="s">
        <v>499</v>
      </c>
      <c r="F487" s="21" t="s">
        <v>125</v>
      </c>
      <c r="G487" s="15"/>
      <c r="H487" s="104">
        <v>26.4</v>
      </c>
      <c r="I487" s="104">
        <v>26.4</v>
      </c>
      <c r="J487" s="99">
        <f t="shared" si="23"/>
        <v>100</v>
      </c>
    </row>
    <row r="488" spans="1:10" ht="63">
      <c r="A488" s="20" t="s">
        <v>500</v>
      </c>
      <c r="B488" s="14" t="s">
        <v>117</v>
      </c>
      <c r="C488" s="21" t="s">
        <v>31</v>
      </c>
      <c r="D488" s="21" t="s">
        <v>8</v>
      </c>
      <c r="E488" s="21" t="s">
        <v>501</v>
      </c>
      <c r="F488" s="21"/>
      <c r="G488" s="15"/>
      <c r="H488" s="104">
        <f>H489</f>
        <v>78.9</v>
      </c>
      <c r="I488" s="104">
        <f>I489</f>
        <v>76.9</v>
      </c>
      <c r="J488" s="99">
        <f t="shared" si="23"/>
        <v>97.46514575411915</v>
      </c>
    </row>
    <row r="489" spans="1:10" ht="47.25">
      <c r="A489" s="20" t="s">
        <v>113</v>
      </c>
      <c r="B489" s="14" t="s">
        <v>117</v>
      </c>
      <c r="C489" s="21" t="s">
        <v>31</v>
      </c>
      <c r="D489" s="21" t="s">
        <v>8</v>
      </c>
      <c r="E489" s="21" t="s">
        <v>501</v>
      </c>
      <c r="F489" s="21" t="s">
        <v>112</v>
      </c>
      <c r="G489" s="15"/>
      <c r="H489" s="104">
        <v>78.9</v>
      </c>
      <c r="I489" s="104">
        <v>76.9</v>
      </c>
      <c r="J489" s="99">
        <f t="shared" si="23"/>
        <v>97.46514575411915</v>
      </c>
    </row>
    <row r="490" spans="1:10" ht="47.25">
      <c r="A490" s="20" t="s">
        <v>502</v>
      </c>
      <c r="B490" s="14" t="s">
        <v>117</v>
      </c>
      <c r="C490" s="21" t="s">
        <v>31</v>
      </c>
      <c r="D490" s="21" t="s">
        <v>8</v>
      </c>
      <c r="E490" s="21" t="s">
        <v>503</v>
      </c>
      <c r="F490" s="21"/>
      <c r="G490" s="15"/>
      <c r="H490" s="104">
        <f>H491+H492</f>
        <v>889.2413799999999</v>
      </c>
      <c r="I490" s="104">
        <f>I491+I492</f>
        <v>889.2413799999999</v>
      </c>
      <c r="J490" s="99">
        <f t="shared" si="23"/>
        <v>100</v>
      </c>
    </row>
    <row r="491" spans="1:10" ht="47.25">
      <c r="A491" s="20" t="s">
        <v>113</v>
      </c>
      <c r="B491" s="14" t="s">
        <v>117</v>
      </c>
      <c r="C491" s="21" t="s">
        <v>31</v>
      </c>
      <c r="D491" s="21" t="s">
        <v>8</v>
      </c>
      <c r="E491" s="21" t="s">
        <v>503</v>
      </c>
      <c r="F491" s="21" t="s">
        <v>112</v>
      </c>
      <c r="G491" s="15"/>
      <c r="H491" s="104">
        <v>348.031</v>
      </c>
      <c r="I491" s="104">
        <v>348.031</v>
      </c>
      <c r="J491" s="99">
        <f t="shared" si="23"/>
        <v>100</v>
      </c>
    </row>
    <row r="492" spans="1:10" ht="15.75">
      <c r="A492" s="20" t="s">
        <v>126</v>
      </c>
      <c r="B492" s="14" t="s">
        <v>117</v>
      </c>
      <c r="C492" s="21" t="s">
        <v>31</v>
      </c>
      <c r="D492" s="21" t="s">
        <v>8</v>
      </c>
      <c r="E492" s="21" t="s">
        <v>503</v>
      </c>
      <c r="F492" s="21" t="s">
        <v>125</v>
      </c>
      <c r="G492" s="15"/>
      <c r="H492" s="104">
        <v>541.21038</v>
      </c>
      <c r="I492" s="104">
        <v>541.21038</v>
      </c>
      <c r="J492" s="99">
        <f t="shared" si="23"/>
        <v>100</v>
      </c>
    </row>
    <row r="493" spans="1:10" ht="47.25">
      <c r="A493" s="20" t="s">
        <v>504</v>
      </c>
      <c r="B493" s="14" t="s">
        <v>117</v>
      </c>
      <c r="C493" s="21" t="s">
        <v>31</v>
      </c>
      <c r="D493" s="21" t="s">
        <v>8</v>
      </c>
      <c r="E493" s="21" t="s">
        <v>505</v>
      </c>
      <c r="F493" s="21"/>
      <c r="G493" s="15"/>
      <c r="H493" s="104">
        <f>H494</f>
        <v>261.3</v>
      </c>
      <c r="I493" s="104">
        <f>I494</f>
        <v>197.44064</v>
      </c>
      <c r="J493" s="99">
        <f t="shared" si="23"/>
        <v>75.56090317642557</v>
      </c>
    </row>
    <row r="494" spans="1:10" ht="47.25">
      <c r="A494" s="20" t="s">
        <v>113</v>
      </c>
      <c r="B494" s="14" t="s">
        <v>117</v>
      </c>
      <c r="C494" s="21" t="s">
        <v>31</v>
      </c>
      <c r="D494" s="21" t="s">
        <v>8</v>
      </c>
      <c r="E494" s="21" t="s">
        <v>505</v>
      </c>
      <c r="F494" s="21" t="s">
        <v>112</v>
      </c>
      <c r="G494" s="15"/>
      <c r="H494" s="104">
        <v>261.3</v>
      </c>
      <c r="I494" s="104">
        <v>197.44064</v>
      </c>
      <c r="J494" s="99">
        <f t="shared" si="23"/>
        <v>75.56090317642557</v>
      </c>
    </row>
    <row r="495" spans="1:10" ht="31.5">
      <c r="A495" s="20" t="s">
        <v>506</v>
      </c>
      <c r="B495" s="14" t="s">
        <v>117</v>
      </c>
      <c r="C495" s="21" t="s">
        <v>31</v>
      </c>
      <c r="D495" s="21" t="s">
        <v>8</v>
      </c>
      <c r="E495" s="21" t="s">
        <v>507</v>
      </c>
      <c r="F495" s="22"/>
      <c r="G495" s="15"/>
      <c r="H495" s="104">
        <f>H496+H498</f>
        <v>1900.523</v>
      </c>
      <c r="I495" s="104">
        <f>I496+I498</f>
        <v>1754.385</v>
      </c>
      <c r="J495" s="99">
        <f t="shared" si="23"/>
        <v>92.31064291250355</v>
      </c>
    </row>
    <row r="496" spans="1:10" ht="47.25">
      <c r="A496" s="20" t="s">
        <v>508</v>
      </c>
      <c r="B496" s="14" t="s">
        <v>117</v>
      </c>
      <c r="C496" s="21" t="s">
        <v>31</v>
      </c>
      <c r="D496" s="21" t="s">
        <v>8</v>
      </c>
      <c r="E496" s="21" t="s">
        <v>509</v>
      </c>
      <c r="F496" s="22"/>
      <c r="G496" s="15"/>
      <c r="H496" s="104">
        <f>H497</f>
        <v>36</v>
      </c>
      <c r="I496" s="104">
        <f>I497</f>
        <v>0</v>
      </c>
      <c r="J496" s="99">
        <f t="shared" si="23"/>
        <v>0</v>
      </c>
    </row>
    <row r="497" spans="1:10" ht="15.75">
      <c r="A497" s="20" t="s">
        <v>126</v>
      </c>
      <c r="B497" s="14" t="s">
        <v>117</v>
      </c>
      <c r="C497" s="21" t="s">
        <v>31</v>
      </c>
      <c r="D497" s="21" t="s">
        <v>8</v>
      </c>
      <c r="E497" s="21" t="s">
        <v>509</v>
      </c>
      <c r="F497" s="22" t="s">
        <v>125</v>
      </c>
      <c r="G497" s="15"/>
      <c r="H497" s="98">
        <v>36</v>
      </c>
      <c r="I497" s="98"/>
      <c r="J497" s="99">
        <f t="shared" si="23"/>
        <v>0</v>
      </c>
    </row>
    <row r="498" spans="1:10" ht="31.5">
      <c r="A498" s="20" t="s">
        <v>510</v>
      </c>
      <c r="B498" s="14" t="s">
        <v>117</v>
      </c>
      <c r="C498" s="21" t="s">
        <v>31</v>
      </c>
      <c r="D498" s="21" t="s">
        <v>8</v>
      </c>
      <c r="E498" s="21" t="s">
        <v>511</v>
      </c>
      <c r="F498" s="22"/>
      <c r="G498" s="15"/>
      <c r="H498" s="104">
        <f>H499</f>
        <v>1864.523</v>
      </c>
      <c r="I498" s="104">
        <f>I499</f>
        <v>1754.385</v>
      </c>
      <c r="J498" s="99">
        <f t="shared" si="23"/>
        <v>94.09296640481239</v>
      </c>
    </row>
    <row r="499" spans="1:10" ht="47.25">
      <c r="A499" s="20" t="s">
        <v>113</v>
      </c>
      <c r="B499" s="14" t="s">
        <v>117</v>
      </c>
      <c r="C499" s="21" t="s">
        <v>31</v>
      </c>
      <c r="D499" s="21" t="s">
        <v>8</v>
      </c>
      <c r="E499" s="21" t="s">
        <v>511</v>
      </c>
      <c r="F499" s="22" t="s">
        <v>112</v>
      </c>
      <c r="G499" s="15"/>
      <c r="H499" s="98">
        <f>2000-135.477</f>
        <v>1864.523</v>
      </c>
      <c r="I499" s="98">
        <v>1754.385</v>
      </c>
      <c r="J499" s="99">
        <f t="shared" si="23"/>
        <v>94.09296640481239</v>
      </c>
    </row>
    <row r="500" spans="1:10" ht="31.5">
      <c r="A500" s="54" t="s">
        <v>512</v>
      </c>
      <c r="B500" s="14" t="s">
        <v>117</v>
      </c>
      <c r="C500" s="21" t="s">
        <v>31</v>
      </c>
      <c r="D500" s="21" t="s">
        <v>8</v>
      </c>
      <c r="E500" s="21" t="s">
        <v>513</v>
      </c>
      <c r="F500" s="21"/>
      <c r="G500" s="15"/>
      <c r="H500" s="104">
        <f>H501</f>
        <v>19.3</v>
      </c>
      <c r="I500" s="104">
        <f>I501</f>
        <v>19.3</v>
      </c>
      <c r="J500" s="99">
        <f t="shared" si="23"/>
        <v>100</v>
      </c>
    </row>
    <row r="501" spans="1:10" ht="47.25">
      <c r="A501" s="54" t="s">
        <v>514</v>
      </c>
      <c r="B501" s="14" t="s">
        <v>117</v>
      </c>
      <c r="C501" s="21" t="s">
        <v>31</v>
      </c>
      <c r="D501" s="21" t="s">
        <v>8</v>
      </c>
      <c r="E501" s="21" t="s">
        <v>515</v>
      </c>
      <c r="F501" s="21"/>
      <c r="G501" s="15"/>
      <c r="H501" s="104">
        <f>H502</f>
        <v>19.3</v>
      </c>
      <c r="I501" s="104">
        <f>I502</f>
        <v>19.3</v>
      </c>
      <c r="J501" s="99">
        <f t="shared" si="23"/>
        <v>100</v>
      </c>
    </row>
    <row r="502" spans="1:10" ht="15.75">
      <c r="A502" s="20" t="s">
        <v>116</v>
      </c>
      <c r="B502" s="14" t="s">
        <v>117</v>
      </c>
      <c r="C502" s="21" t="s">
        <v>31</v>
      </c>
      <c r="D502" s="21" t="s">
        <v>8</v>
      </c>
      <c r="E502" s="21" t="s">
        <v>515</v>
      </c>
      <c r="F502" s="21" t="s">
        <v>115</v>
      </c>
      <c r="G502" s="15"/>
      <c r="H502" s="109">
        <v>19.3</v>
      </c>
      <c r="I502" s="109">
        <v>19.3</v>
      </c>
      <c r="J502" s="99">
        <f t="shared" si="23"/>
        <v>100</v>
      </c>
    </row>
    <row r="503" spans="1:10" ht="15.75">
      <c r="A503" s="20" t="s">
        <v>473</v>
      </c>
      <c r="B503" s="14" t="s">
        <v>117</v>
      </c>
      <c r="C503" s="21" t="s">
        <v>31</v>
      </c>
      <c r="D503" s="21" t="s">
        <v>8</v>
      </c>
      <c r="E503" s="21" t="s">
        <v>474</v>
      </c>
      <c r="F503" s="21"/>
      <c r="G503" s="15"/>
      <c r="H503" s="104">
        <f>H504</f>
        <v>85</v>
      </c>
      <c r="I503" s="104">
        <f>I504</f>
        <v>85</v>
      </c>
      <c r="J503" s="99">
        <f t="shared" si="23"/>
        <v>100</v>
      </c>
    </row>
    <row r="504" spans="1:10" ht="15.75">
      <c r="A504" s="20" t="s">
        <v>126</v>
      </c>
      <c r="B504" s="14" t="s">
        <v>117</v>
      </c>
      <c r="C504" s="21" t="s">
        <v>31</v>
      </c>
      <c r="D504" s="21" t="s">
        <v>8</v>
      </c>
      <c r="E504" s="21" t="s">
        <v>474</v>
      </c>
      <c r="F504" s="21" t="s">
        <v>125</v>
      </c>
      <c r="G504" s="15"/>
      <c r="H504" s="109">
        <v>85</v>
      </c>
      <c r="I504" s="109">
        <v>85</v>
      </c>
      <c r="J504" s="99">
        <f aca="true" t="shared" si="24" ref="J504:J534">I504/H504*100</f>
        <v>100</v>
      </c>
    </row>
    <row r="505" spans="1:10" ht="15.75">
      <c r="A505" s="20" t="s">
        <v>72</v>
      </c>
      <c r="B505" s="14" t="s">
        <v>117</v>
      </c>
      <c r="C505" s="21" t="s">
        <v>31</v>
      </c>
      <c r="D505" s="21" t="s">
        <v>12</v>
      </c>
      <c r="E505" s="21"/>
      <c r="F505" s="21"/>
      <c r="G505" s="15" t="e">
        <f>#REF!+#REF!+#REF!</f>
        <v>#REF!</v>
      </c>
      <c r="H505" s="104">
        <f>H506</f>
        <v>5936.3</v>
      </c>
      <c r="I505" s="104">
        <f>I506</f>
        <v>5557.7733800000005</v>
      </c>
      <c r="J505" s="99">
        <f t="shared" si="24"/>
        <v>93.62352610211748</v>
      </c>
    </row>
    <row r="506" spans="1:10" ht="47.25">
      <c r="A506" s="20" t="s">
        <v>454</v>
      </c>
      <c r="B506" s="14" t="s">
        <v>117</v>
      </c>
      <c r="C506" s="21" t="s">
        <v>31</v>
      </c>
      <c r="D506" s="21" t="s">
        <v>12</v>
      </c>
      <c r="E506" s="21" t="s">
        <v>455</v>
      </c>
      <c r="F506" s="21"/>
      <c r="G506" s="15" t="e">
        <f>#REF!+#REF!+#REF!</f>
        <v>#REF!</v>
      </c>
      <c r="H506" s="104">
        <f>H507+H522</f>
        <v>5936.3</v>
      </c>
      <c r="I506" s="104">
        <f>I507+I522</f>
        <v>5557.7733800000005</v>
      </c>
      <c r="J506" s="99">
        <f t="shared" si="24"/>
        <v>93.62352610211748</v>
      </c>
    </row>
    <row r="507" spans="1:10" ht="31.5">
      <c r="A507" s="20" t="s">
        <v>516</v>
      </c>
      <c r="B507" s="14" t="s">
        <v>117</v>
      </c>
      <c r="C507" s="21" t="s">
        <v>31</v>
      </c>
      <c r="D507" s="21" t="s">
        <v>12</v>
      </c>
      <c r="E507" s="21" t="s">
        <v>517</v>
      </c>
      <c r="F507" s="21"/>
      <c r="G507" s="15" t="e">
        <f>#REF!+#REF!+#REF!</f>
        <v>#REF!</v>
      </c>
      <c r="H507" s="104">
        <f>H508</f>
        <v>2104</v>
      </c>
      <c r="I507" s="104">
        <f>I508</f>
        <v>1867.3452900000002</v>
      </c>
      <c r="J507" s="99">
        <f t="shared" si="24"/>
        <v>88.75215256653993</v>
      </c>
    </row>
    <row r="508" spans="1:10" ht="31.5">
      <c r="A508" s="20" t="s">
        <v>518</v>
      </c>
      <c r="B508" s="14" t="s">
        <v>117</v>
      </c>
      <c r="C508" s="21" t="s">
        <v>31</v>
      </c>
      <c r="D508" s="21" t="s">
        <v>12</v>
      </c>
      <c r="E508" s="21" t="s">
        <v>519</v>
      </c>
      <c r="F508" s="21"/>
      <c r="G508" s="15"/>
      <c r="H508" s="104">
        <f>H509+H513</f>
        <v>2104</v>
      </c>
      <c r="I508" s="104">
        <f>I509+I513</f>
        <v>1867.3452900000002</v>
      </c>
      <c r="J508" s="99">
        <f t="shared" si="24"/>
        <v>88.75215256653993</v>
      </c>
    </row>
    <row r="509" spans="1:10" ht="31.5">
      <c r="A509" s="20" t="s">
        <v>520</v>
      </c>
      <c r="B509" s="14" t="s">
        <v>117</v>
      </c>
      <c r="C509" s="21" t="s">
        <v>31</v>
      </c>
      <c r="D509" s="21" t="s">
        <v>12</v>
      </c>
      <c r="E509" s="21" t="s">
        <v>521</v>
      </c>
      <c r="F509" s="21"/>
      <c r="G509" s="15"/>
      <c r="H509" s="104">
        <f>H510</f>
        <v>1915</v>
      </c>
      <c r="I509" s="104">
        <f>I510</f>
        <v>1682.09921</v>
      </c>
      <c r="J509" s="99">
        <f t="shared" si="24"/>
        <v>87.83807885117494</v>
      </c>
    </row>
    <row r="510" spans="1:10" ht="15.75">
      <c r="A510" s="20" t="s">
        <v>82</v>
      </c>
      <c r="B510" s="14" t="s">
        <v>117</v>
      </c>
      <c r="C510" s="21" t="s">
        <v>31</v>
      </c>
      <c r="D510" s="21" t="s">
        <v>12</v>
      </c>
      <c r="E510" s="21" t="s">
        <v>521</v>
      </c>
      <c r="F510" s="22" t="s">
        <v>81</v>
      </c>
      <c r="G510" s="15"/>
      <c r="H510" s="104">
        <f>H511+H512</f>
        <v>1915</v>
      </c>
      <c r="I510" s="104">
        <f>I511+I512</f>
        <v>1682.09921</v>
      </c>
      <c r="J510" s="99">
        <f t="shared" si="24"/>
        <v>87.83807885117494</v>
      </c>
    </row>
    <row r="511" spans="1:10" ht="15.75">
      <c r="A511" s="20" t="s">
        <v>191</v>
      </c>
      <c r="B511" s="14" t="s">
        <v>117</v>
      </c>
      <c r="C511" s="21" t="s">
        <v>31</v>
      </c>
      <c r="D511" s="21" t="s">
        <v>12</v>
      </c>
      <c r="E511" s="21" t="s">
        <v>521</v>
      </c>
      <c r="F511" s="22" t="s">
        <v>83</v>
      </c>
      <c r="G511" s="15"/>
      <c r="H511" s="104">
        <f>1815-344</f>
        <v>1471</v>
      </c>
      <c r="I511" s="104">
        <v>1299.45234</v>
      </c>
      <c r="J511" s="99">
        <f t="shared" si="24"/>
        <v>88.33802447314753</v>
      </c>
    </row>
    <row r="512" spans="1:10" ht="31.5">
      <c r="A512" s="20" t="s">
        <v>192</v>
      </c>
      <c r="B512" s="14" t="s">
        <v>117</v>
      </c>
      <c r="C512" s="21" t="s">
        <v>31</v>
      </c>
      <c r="D512" s="21" t="s">
        <v>12</v>
      </c>
      <c r="E512" s="21" t="s">
        <v>521</v>
      </c>
      <c r="F512" s="22" t="s">
        <v>193</v>
      </c>
      <c r="G512" s="15"/>
      <c r="H512" s="104">
        <v>444</v>
      </c>
      <c r="I512" s="104">
        <v>382.64687</v>
      </c>
      <c r="J512" s="99">
        <f t="shared" si="24"/>
        <v>86.18172747747748</v>
      </c>
    </row>
    <row r="513" spans="1:10" ht="31.5">
      <c r="A513" s="20" t="s">
        <v>522</v>
      </c>
      <c r="B513" s="14" t="s">
        <v>117</v>
      </c>
      <c r="C513" s="21" t="s">
        <v>31</v>
      </c>
      <c r="D513" s="21" t="s">
        <v>12</v>
      </c>
      <c r="E513" s="21" t="s">
        <v>523</v>
      </c>
      <c r="F513" s="22"/>
      <c r="G513" s="15"/>
      <c r="H513" s="104">
        <f>H514+H516+H519</f>
        <v>189</v>
      </c>
      <c r="I513" s="104">
        <f>I514+I516+I519</f>
        <v>185.24608</v>
      </c>
      <c r="J513" s="99">
        <f t="shared" si="24"/>
        <v>98.01379894179895</v>
      </c>
    </row>
    <row r="514" spans="1:10" ht="15.75">
      <c r="A514" s="20" t="s">
        <v>82</v>
      </c>
      <c r="B514" s="14" t="s">
        <v>117</v>
      </c>
      <c r="C514" s="21" t="s">
        <v>31</v>
      </c>
      <c r="D514" s="21" t="s">
        <v>12</v>
      </c>
      <c r="E514" s="21" t="s">
        <v>523</v>
      </c>
      <c r="F514" s="22" t="s">
        <v>81</v>
      </c>
      <c r="G514" s="15"/>
      <c r="H514" s="104">
        <f>H515</f>
        <v>87.19200000000001</v>
      </c>
      <c r="I514" s="104">
        <f>I515</f>
        <v>87.19200000000001</v>
      </c>
      <c r="J514" s="99">
        <f t="shared" si="24"/>
        <v>100</v>
      </c>
    </row>
    <row r="515" spans="1:10" ht="31.5">
      <c r="A515" s="20" t="s">
        <v>138</v>
      </c>
      <c r="B515" s="14" t="s">
        <v>117</v>
      </c>
      <c r="C515" s="21" t="s">
        <v>31</v>
      </c>
      <c r="D515" s="21" t="s">
        <v>12</v>
      </c>
      <c r="E515" s="21" t="s">
        <v>523</v>
      </c>
      <c r="F515" s="22" t="s">
        <v>85</v>
      </c>
      <c r="G515" s="15"/>
      <c r="H515" s="104">
        <f>41+46.192</f>
        <v>87.19200000000001</v>
      </c>
      <c r="I515" s="104">
        <f>41+46.192</f>
        <v>87.19200000000001</v>
      </c>
      <c r="J515" s="99">
        <f t="shared" si="24"/>
        <v>100</v>
      </c>
    </row>
    <row r="516" spans="1:10" ht="15.75">
      <c r="A516" s="20" t="s">
        <v>88</v>
      </c>
      <c r="B516" s="14" t="s">
        <v>117</v>
      </c>
      <c r="C516" s="21" t="s">
        <v>31</v>
      </c>
      <c r="D516" s="21" t="s">
        <v>12</v>
      </c>
      <c r="E516" s="21" t="s">
        <v>523</v>
      </c>
      <c r="F516" s="22" t="s">
        <v>87</v>
      </c>
      <c r="G516" s="15"/>
      <c r="H516" s="104">
        <f>H517+H518</f>
        <v>85.80799999999999</v>
      </c>
      <c r="I516" s="104">
        <f>I517+I518</f>
        <v>84.39287999999999</v>
      </c>
      <c r="J516" s="99">
        <f t="shared" si="24"/>
        <v>98.35082975946298</v>
      </c>
    </row>
    <row r="517" spans="1:10" ht="31.5">
      <c r="A517" s="20" t="s">
        <v>92</v>
      </c>
      <c r="B517" s="14" t="s">
        <v>117</v>
      </c>
      <c r="C517" s="21" t="s">
        <v>31</v>
      </c>
      <c r="D517" s="21" t="s">
        <v>12</v>
      </c>
      <c r="E517" s="21" t="s">
        <v>523</v>
      </c>
      <c r="F517" s="22" t="s">
        <v>89</v>
      </c>
      <c r="G517" s="15"/>
      <c r="H517" s="104">
        <v>38</v>
      </c>
      <c r="I517" s="104">
        <v>37.90788</v>
      </c>
      <c r="J517" s="99">
        <f t="shared" si="24"/>
        <v>99.75757894736842</v>
      </c>
    </row>
    <row r="518" spans="1:10" ht="15.75">
      <c r="A518" s="20" t="s">
        <v>215</v>
      </c>
      <c r="B518" s="14" t="s">
        <v>117</v>
      </c>
      <c r="C518" s="21" t="s">
        <v>31</v>
      </c>
      <c r="D518" s="21" t="s">
        <v>12</v>
      </c>
      <c r="E518" s="21" t="s">
        <v>523</v>
      </c>
      <c r="F518" s="22" t="s">
        <v>90</v>
      </c>
      <c r="G518" s="15"/>
      <c r="H518" s="104">
        <f>76-28.192</f>
        <v>47.808</v>
      </c>
      <c r="I518" s="104">
        <v>46.485</v>
      </c>
      <c r="J518" s="99">
        <f t="shared" si="24"/>
        <v>97.23268072289156</v>
      </c>
    </row>
    <row r="519" spans="1:10" ht="15.75">
      <c r="A519" s="20" t="s">
        <v>93</v>
      </c>
      <c r="B519" s="14" t="s">
        <v>117</v>
      </c>
      <c r="C519" s="21" t="s">
        <v>31</v>
      </c>
      <c r="D519" s="21" t="s">
        <v>12</v>
      </c>
      <c r="E519" s="21" t="s">
        <v>523</v>
      </c>
      <c r="F519" s="22" t="s">
        <v>94</v>
      </c>
      <c r="G519" s="15"/>
      <c r="H519" s="104">
        <f>H520+H521</f>
        <v>16</v>
      </c>
      <c r="I519" s="104">
        <f>I520+I521</f>
        <v>13.661200000000001</v>
      </c>
      <c r="J519" s="99">
        <f t="shared" si="24"/>
        <v>85.38250000000001</v>
      </c>
    </row>
    <row r="520" spans="1:10" ht="15.75">
      <c r="A520" s="20" t="s">
        <v>97</v>
      </c>
      <c r="B520" s="14" t="s">
        <v>117</v>
      </c>
      <c r="C520" s="21" t="s">
        <v>31</v>
      </c>
      <c r="D520" s="21" t="s">
        <v>12</v>
      </c>
      <c r="E520" s="21" t="s">
        <v>523</v>
      </c>
      <c r="F520" s="22" t="s">
        <v>95</v>
      </c>
      <c r="G520" s="15"/>
      <c r="H520" s="98">
        <v>14</v>
      </c>
      <c r="I520" s="98">
        <v>13.464</v>
      </c>
      <c r="J520" s="99">
        <f t="shared" si="24"/>
        <v>96.17142857142858</v>
      </c>
    </row>
    <row r="521" spans="1:10" ht="15.75">
      <c r="A521" s="20" t="s">
        <v>233</v>
      </c>
      <c r="B521" s="14" t="s">
        <v>117</v>
      </c>
      <c r="C521" s="21" t="s">
        <v>31</v>
      </c>
      <c r="D521" s="21" t="s">
        <v>12</v>
      </c>
      <c r="E521" s="21" t="s">
        <v>523</v>
      </c>
      <c r="F521" s="22" t="s">
        <v>96</v>
      </c>
      <c r="G521" s="15"/>
      <c r="H521" s="98">
        <f>20-18</f>
        <v>2</v>
      </c>
      <c r="I521" s="98">
        <v>0.1972</v>
      </c>
      <c r="J521" s="99">
        <f t="shared" si="24"/>
        <v>9.86</v>
      </c>
    </row>
    <row r="522" spans="1:10" ht="47.25">
      <c r="A522" s="20" t="s">
        <v>524</v>
      </c>
      <c r="B522" s="14" t="s">
        <v>117</v>
      </c>
      <c r="C522" s="21" t="s">
        <v>31</v>
      </c>
      <c r="D522" s="21" t="s">
        <v>12</v>
      </c>
      <c r="E522" s="21" t="s">
        <v>525</v>
      </c>
      <c r="F522" s="22"/>
      <c r="G522" s="15"/>
      <c r="H522" s="104">
        <f>H523+H525+H527+H529+H531+H533</f>
        <v>3832.3</v>
      </c>
      <c r="I522" s="104">
        <f>I523+I525+I527+I529+I531+I533</f>
        <v>3690.42809</v>
      </c>
      <c r="J522" s="99">
        <f t="shared" si="24"/>
        <v>96.29799572058553</v>
      </c>
    </row>
    <row r="523" spans="1:10" ht="47.25">
      <c r="A523" s="20" t="s">
        <v>526</v>
      </c>
      <c r="B523" s="14" t="s">
        <v>117</v>
      </c>
      <c r="C523" s="21" t="s">
        <v>31</v>
      </c>
      <c r="D523" s="21" t="s">
        <v>12</v>
      </c>
      <c r="E523" s="21" t="s">
        <v>527</v>
      </c>
      <c r="F523" s="22"/>
      <c r="G523" s="15"/>
      <c r="H523" s="104">
        <f>H524</f>
        <v>3203.1</v>
      </c>
      <c r="I523" s="104">
        <f>I524</f>
        <v>3203.1</v>
      </c>
      <c r="J523" s="99">
        <f t="shared" si="24"/>
        <v>100</v>
      </c>
    </row>
    <row r="524" spans="1:10" ht="47.25">
      <c r="A524" s="20" t="s">
        <v>114</v>
      </c>
      <c r="B524" s="14" t="s">
        <v>117</v>
      </c>
      <c r="C524" s="21" t="s">
        <v>31</v>
      </c>
      <c r="D524" s="21" t="s">
        <v>12</v>
      </c>
      <c r="E524" s="21" t="s">
        <v>527</v>
      </c>
      <c r="F524" s="22" t="s">
        <v>101</v>
      </c>
      <c r="G524" s="15"/>
      <c r="H524" s="104">
        <v>3203.1</v>
      </c>
      <c r="I524" s="104">
        <v>3203.1</v>
      </c>
      <c r="J524" s="99">
        <f t="shared" si="24"/>
        <v>100</v>
      </c>
    </row>
    <row r="525" spans="1:10" ht="47.25">
      <c r="A525" s="20" t="s">
        <v>528</v>
      </c>
      <c r="B525" s="14" t="s">
        <v>117</v>
      </c>
      <c r="C525" s="21" t="s">
        <v>31</v>
      </c>
      <c r="D525" s="21" t="s">
        <v>12</v>
      </c>
      <c r="E525" s="21" t="s">
        <v>529</v>
      </c>
      <c r="F525" s="22"/>
      <c r="G525" s="15"/>
      <c r="H525" s="104">
        <f>H526</f>
        <v>200</v>
      </c>
      <c r="I525" s="104">
        <f>I526</f>
        <v>101.80878</v>
      </c>
      <c r="J525" s="99">
        <f t="shared" si="24"/>
        <v>50.90439</v>
      </c>
    </row>
    <row r="526" spans="1:10" ht="47.25">
      <c r="A526" s="20" t="s">
        <v>114</v>
      </c>
      <c r="B526" s="14" t="s">
        <v>117</v>
      </c>
      <c r="C526" s="21" t="s">
        <v>31</v>
      </c>
      <c r="D526" s="21" t="s">
        <v>12</v>
      </c>
      <c r="E526" s="21" t="s">
        <v>529</v>
      </c>
      <c r="F526" s="22" t="s">
        <v>101</v>
      </c>
      <c r="G526" s="15"/>
      <c r="H526" s="104">
        <v>200</v>
      </c>
      <c r="I526" s="104">
        <v>101.80878</v>
      </c>
      <c r="J526" s="99">
        <f t="shared" si="24"/>
        <v>50.90439</v>
      </c>
    </row>
    <row r="527" spans="1:10" ht="47.25">
      <c r="A527" s="20" t="s">
        <v>530</v>
      </c>
      <c r="B527" s="14" t="s">
        <v>117</v>
      </c>
      <c r="C527" s="21" t="s">
        <v>31</v>
      </c>
      <c r="D527" s="21" t="s">
        <v>12</v>
      </c>
      <c r="E527" s="21" t="s">
        <v>531</v>
      </c>
      <c r="F527" s="22"/>
      <c r="G527" s="15"/>
      <c r="H527" s="104">
        <f>H528</f>
        <v>16.8</v>
      </c>
      <c r="I527" s="104">
        <f>I528</f>
        <v>16.8</v>
      </c>
      <c r="J527" s="99">
        <f t="shared" si="24"/>
        <v>100</v>
      </c>
    </row>
    <row r="528" spans="1:10" ht="15.75">
      <c r="A528" s="20" t="s">
        <v>116</v>
      </c>
      <c r="B528" s="14" t="s">
        <v>117</v>
      </c>
      <c r="C528" s="21" t="s">
        <v>31</v>
      </c>
      <c r="D528" s="21" t="s">
        <v>12</v>
      </c>
      <c r="E528" s="21" t="s">
        <v>531</v>
      </c>
      <c r="F528" s="22" t="s">
        <v>115</v>
      </c>
      <c r="G528" s="15"/>
      <c r="H528" s="104">
        <v>16.8</v>
      </c>
      <c r="I528" s="104">
        <v>16.8</v>
      </c>
      <c r="J528" s="99">
        <f t="shared" si="24"/>
        <v>100</v>
      </c>
    </row>
    <row r="529" spans="1:10" ht="78.75">
      <c r="A529" s="20" t="s">
        <v>532</v>
      </c>
      <c r="B529" s="14" t="s">
        <v>117</v>
      </c>
      <c r="C529" s="21" t="s">
        <v>31</v>
      </c>
      <c r="D529" s="21" t="s">
        <v>12</v>
      </c>
      <c r="E529" s="21" t="s">
        <v>533</v>
      </c>
      <c r="F529" s="22"/>
      <c r="G529" s="15"/>
      <c r="H529" s="104">
        <f>H530</f>
        <v>51.3</v>
      </c>
      <c r="I529" s="104">
        <f>I530</f>
        <v>42.74</v>
      </c>
      <c r="J529" s="99">
        <f t="shared" si="24"/>
        <v>83.31384015594543</v>
      </c>
    </row>
    <row r="530" spans="1:10" ht="47.25">
      <c r="A530" s="20" t="s">
        <v>114</v>
      </c>
      <c r="B530" s="14" t="s">
        <v>117</v>
      </c>
      <c r="C530" s="21" t="s">
        <v>31</v>
      </c>
      <c r="D530" s="21" t="s">
        <v>12</v>
      </c>
      <c r="E530" s="21" t="s">
        <v>533</v>
      </c>
      <c r="F530" s="22" t="s">
        <v>101</v>
      </c>
      <c r="G530" s="15"/>
      <c r="H530" s="104">
        <v>51.3</v>
      </c>
      <c r="I530" s="104">
        <v>42.74</v>
      </c>
      <c r="J530" s="99">
        <f t="shared" si="24"/>
        <v>83.31384015594543</v>
      </c>
    </row>
    <row r="531" spans="1:10" ht="47.25" hidden="1">
      <c r="A531" s="20" t="s">
        <v>534</v>
      </c>
      <c r="B531" s="14" t="s">
        <v>117</v>
      </c>
      <c r="C531" s="21" t="s">
        <v>31</v>
      </c>
      <c r="D531" s="21" t="s">
        <v>12</v>
      </c>
      <c r="E531" s="21" t="s">
        <v>535</v>
      </c>
      <c r="F531" s="22"/>
      <c r="G531" s="15"/>
      <c r="H531" s="104">
        <f>H532</f>
        <v>0</v>
      </c>
      <c r="I531" s="104">
        <f>I532</f>
        <v>0</v>
      </c>
      <c r="J531" s="99" t="e">
        <f t="shared" si="24"/>
        <v>#DIV/0!</v>
      </c>
    </row>
    <row r="532" spans="1:10" ht="47.25" hidden="1">
      <c r="A532" s="20" t="s">
        <v>114</v>
      </c>
      <c r="B532" s="14" t="s">
        <v>117</v>
      </c>
      <c r="C532" s="21" t="s">
        <v>31</v>
      </c>
      <c r="D532" s="21" t="s">
        <v>12</v>
      </c>
      <c r="E532" s="21" t="s">
        <v>535</v>
      </c>
      <c r="F532" s="22" t="s">
        <v>101</v>
      </c>
      <c r="G532" s="15"/>
      <c r="H532" s="104"/>
      <c r="I532" s="104"/>
      <c r="J532" s="99" t="e">
        <f t="shared" si="24"/>
        <v>#DIV/0!</v>
      </c>
    </row>
    <row r="533" spans="1:10" ht="47.25">
      <c r="A533" s="20" t="s">
        <v>536</v>
      </c>
      <c r="B533" s="14" t="s">
        <v>117</v>
      </c>
      <c r="C533" s="21" t="s">
        <v>31</v>
      </c>
      <c r="D533" s="21" t="s">
        <v>12</v>
      </c>
      <c r="E533" s="21" t="s">
        <v>537</v>
      </c>
      <c r="F533" s="22"/>
      <c r="G533" s="15"/>
      <c r="H533" s="104">
        <f>H534</f>
        <v>361.1</v>
      </c>
      <c r="I533" s="104">
        <f>I534</f>
        <v>325.97931</v>
      </c>
      <c r="J533" s="99">
        <f t="shared" si="24"/>
        <v>90.27397119911382</v>
      </c>
    </row>
    <row r="534" spans="1:10" ht="47.25">
      <c r="A534" s="20" t="s">
        <v>114</v>
      </c>
      <c r="B534" s="14" t="s">
        <v>117</v>
      </c>
      <c r="C534" s="21" t="s">
        <v>31</v>
      </c>
      <c r="D534" s="21" t="s">
        <v>12</v>
      </c>
      <c r="E534" s="21" t="s">
        <v>537</v>
      </c>
      <c r="F534" s="22" t="s">
        <v>101</v>
      </c>
      <c r="G534" s="15"/>
      <c r="H534" s="98">
        <v>361.1</v>
      </c>
      <c r="I534" s="98">
        <v>325.97931</v>
      </c>
      <c r="J534" s="99">
        <f t="shared" si="24"/>
        <v>90.27397119911382</v>
      </c>
    </row>
    <row r="535" spans="1:10" ht="15.75">
      <c r="A535" s="30"/>
      <c r="B535" s="25"/>
      <c r="C535" s="25"/>
      <c r="D535" s="25"/>
      <c r="E535" s="25"/>
      <c r="F535" s="25"/>
      <c r="G535" s="26"/>
      <c r="H535" s="102"/>
      <c r="I535" s="102"/>
      <c r="J535" s="26"/>
    </row>
    <row r="536" spans="1:10" ht="15.75">
      <c r="A536" s="37"/>
      <c r="B536" s="28"/>
      <c r="C536" s="28"/>
      <c r="D536" s="28"/>
      <c r="E536" s="28"/>
      <c r="F536" s="28"/>
      <c r="G536" s="29"/>
      <c r="H536" s="103"/>
      <c r="I536" s="103"/>
      <c r="J536" s="29"/>
    </row>
    <row r="537" spans="1:10" ht="31.5">
      <c r="A537" s="13" t="s">
        <v>63</v>
      </c>
      <c r="B537" s="14" t="s">
        <v>118</v>
      </c>
      <c r="C537" s="17" t="s">
        <v>9</v>
      </c>
      <c r="D537" s="17" t="s">
        <v>9</v>
      </c>
      <c r="E537" s="14"/>
      <c r="F537" s="14"/>
      <c r="G537" s="15" t="e">
        <f>#REF!+#REF!+#REF!</f>
        <v>#REF!</v>
      </c>
      <c r="H537" s="104">
        <f>H538+H737</f>
        <v>824790.5006200001</v>
      </c>
      <c r="I537" s="104">
        <f>I538+I737</f>
        <v>820166.75505</v>
      </c>
      <c r="J537" s="99">
        <f aca="true" t="shared" si="25" ref="J537:J600">I537/H537*100</f>
        <v>99.43940363443514</v>
      </c>
    </row>
    <row r="538" spans="1:10" ht="15.75">
      <c r="A538" s="20" t="s">
        <v>25</v>
      </c>
      <c r="B538" s="14" t="s">
        <v>118</v>
      </c>
      <c r="C538" s="21" t="s">
        <v>26</v>
      </c>
      <c r="D538" s="21" t="s">
        <v>9</v>
      </c>
      <c r="E538" s="21"/>
      <c r="F538" s="21"/>
      <c r="G538" s="15" t="e">
        <f>#REF!+#REF!+#REF!</f>
        <v>#REF!</v>
      </c>
      <c r="H538" s="98">
        <f>H539+H586+H661+H687</f>
        <v>800354.20062</v>
      </c>
      <c r="I538" s="98">
        <f>I539+I586+I661+I687</f>
        <v>795730.45505</v>
      </c>
      <c r="J538" s="99">
        <f t="shared" si="25"/>
        <v>99.42228758636887</v>
      </c>
    </row>
    <row r="539" spans="1:10" ht="15.75">
      <c r="A539" s="20" t="s">
        <v>27</v>
      </c>
      <c r="B539" s="14" t="s">
        <v>118</v>
      </c>
      <c r="C539" s="21" t="s">
        <v>26</v>
      </c>
      <c r="D539" s="21" t="s">
        <v>8</v>
      </c>
      <c r="E539" s="21"/>
      <c r="F539" s="21"/>
      <c r="G539" s="15" t="e">
        <f>#REF!+#REF!+#REF!</f>
        <v>#REF!</v>
      </c>
      <c r="H539" s="98">
        <f>H542+H579+H540+H577</f>
        <v>269149.79854</v>
      </c>
      <c r="I539" s="98">
        <f>I542+I579+I540+I577</f>
        <v>266676.96148000006</v>
      </c>
      <c r="J539" s="99">
        <f t="shared" si="25"/>
        <v>99.08124134834438</v>
      </c>
    </row>
    <row r="540" spans="1:10" ht="31.5">
      <c r="A540" s="20" t="s">
        <v>538</v>
      </c>
      <c r="B540" s="14" t="s">
        <v>118</v>
      </c>
      <c r="C540" s="21" t="s">
        <v>26</v>
      </c>
      <c r="D540" s="21" t="s">
        <v>8</v>
      </c>
      <c r="E540" s="21" t="s">
        <v>539</v>
      </c>
      <c r="F540" s="21"/>
      <c r="G540" s="15"/>
      <c r="H540" s="98">
        <f>H541</f>
        <v>276.9</v>
      </c>
      <c r="I540" s="98">
        <f>I541</f>
        <v>276.9</v>
      </c>
      <c r="J540" s="99">
        <f t="shared" si="25"/>
        <v>100</v>
      </c>
    </row>
    <row r="541" spans="1:10" ht="15.75">
      <c r="A541" s="20" t="s">
        <v>116</v>
      </c>
      <c r="B541" s="14" t="s">
        <v>118</v>
      </c>
      <c r="C541" s="21" t="s">
        <v>26</v>
      </c>
      <c r="D541" s="21" t="s">
        <v>8</v>
      </c>
      <c r="E541" s="21" t="s">
        <v>539</v>
      </c>
      <c r="F541" s="21" t="s">
        <v>115</v>
      </c>
      <c r="G541" s="15"/>
      <c r="H541" s="98">
        <v>276.9</v>
      </c>
      <c r="I541" s="98">
        <v>276.9</v>
      </c>
      <c r="J541" s="99">
        <f t="shared" si="25"/>
        <v>100</v>
      </c>
    </row>
    <row r="542" spans="1:10" ht="47.25">
      <c r="A542" s="20" t="s">
        <v>540</v>
      </c>
      <c r="B542" s="14" t="s">
        <v>118</v>
      </c>
      <c r="C542" s="21" t="s">
        <v>26</v>
      </c>
      <c r="D542" s="21" t="s">
        <v>8</v>
      </c>
      <c r="E542" s="21" t="s">
        <v>541</v>
      </c>
      <c r="F542" s="21"/>
      <c r="G542" s="15" t="e">
        <f>#REF!+#REF!+#REF!</f>
        <v>#REF!</v>
      </c>
      <c r="H542" s="98">
        <f>H543</f>
        <v>94291.06654</v>
      </c>
      <c r="I542" s="98">
        <f>I543</f>
        <v>91818.22948000001</v>
      </c>
      <c r="J542" s="99">
        <f t="shared" si="25"/>
        <v>97.37744290022324</v>
      </c>
    </row>
    <row r="543" spans="1:10" ht="31.5">
      <c r="A543" s="20" t="s">
        <v>542</v>
      </c>
      <c r="B543" s="14" t="s">
        <v>118</v>
      </c>
      <c r="C543" s="21" t="s">
        <v>26</v>
      </c>
      <c r="D543" s="21" t="s">
        <v>8</v>
      </c>
      <c r="E543" s="21" t="s">
        <v>543</v>
      </c>
      <c r="F543" s="21"/>
      <c r="G543" s="15"/>
      <c r="H543" s="98">
        <f>H544</f>
        <v>94291.06654</v>
      </c>
      <c r="I543" s="98">
        <f>I544</f>
        <v>91818.22948000001</v>
      </c>
      <c r="J543" s="99">
        <f t="shared" si="25"/>
        <v>97.37744290022324</v>
      </c>
    </row>
    <row r="544" spans="1:10" ht="31.5">
      <c r="A544" s="20" t="s">
        <v>544</v>
      </c>
      <c r="B544" s="14" t="s">
        <v>118</v>
      </c>
      <c r="C544" s="21" t="s">
        <v>26</v>
      </c>
      <c r="D544" s="21" t="s">
        <v>8</v>
      </c>
      <c r="E544" s="21" t="s">
        <v>545</v>
      </c>
      <c r="F544" s="21"/>
      <c r="G544" s="15"/>
      <c r="H544" s="98">
        <f>H545+H548+H551+H554+H557+H562+H565+H568+H571+H574</f>
        <v>94291.06654</v>
      </c>
      <c r="I544" s="98">
        <f>I545+I548+I551+I554+I557+I562+I565+I568+I571+I574</f>
        <v>91818.22948000001</v>
      </c>
      <c r="J544" s="99">
        <f t="shared" si="25"/>
        <v>97.37744290022324</v>
      </c>
    </row>
    <row r="545" spans="1:10" ht="31.5">
      <c r="A545" s="20" t="s">
        <v>546</v>
      </c>
      <c r="B545" s="14" t="s">
        <v>118</v>
      </c>
      <c r="C545" s="21" t="s">
        <v>26</v>
      </c>
      <c r="D545" s="21" t="s">
        <v>8</v>
      </c>
      <c r="E545" s="21" t="s">
        <v>547</v>
      </c>
      <c r="F545" s="21"/>
      <c r="G545" s="15" t="e">
        <f>#REF!+#REF!+#REF!</f>
        <v>#REF!</v>
      </c>
      <c r="H545" s="98">
        <f>H546+H547</f>
        <v>25685.690000000002</v>
      </c>
      <c r="I545" s="98">
        <f>I546+I547</f>
        <v>25685.690000000002</v>
      </c>
      <c r="J545" s="99">
        <f t="shared" si="25"/>
        <v>100</v>
      </c>
    </row>
    <row r="546" spans="1:10" ht="47.25">
      <c r="A546" s="20" t="s">
        <v>114</v>
      </c>
      <c r="B546" s="14" t="s">
        <v>118</v>
      </c>
      <c r="C546" s="21" t="s">
        <v>26</v>
      </c>
      <c r="D546" s="21" t="s">
        <v>8</v>
      </c>
      <c r="E546" s="21" t="s">
        <v>547</v>
      </c>
      <c r="F546" s="21" t="s">
        <v>101</v>
      </c>
      <c r="G546" s="15"/>
      <c r="H546" s="98">
        <v>21870.883</v>
      </c>
      <c r="I546" s="98">
        <v>21870.883</v>
      </c>
      <c r="J546" s="99">
        <f t="shared" si="25"/>
        <v>100</v>
      </c>
    </row>
    <row r="547" spans="1:10" ht="47.25">
      <c r="A547" s="20" t="s">
        <v>113</v>
      </c>
      <c r="B547" s="14" t="s">
        <v>118</v>
      </c>
      <c r="C547" s="21" t="s">
        <v>26</v>
      </c>
      <c r="D547" s="21" t="s">
        <v>8</v>
      </c>
      <c r="E547" s="21" t="s">
        <v>547</v>
      </c>
      <c r="F547" s="21" t="s">
        <v>112</v>
      </c>
      <c r="G547" s="15"/>
      <c r="H547" s="98">
        <v>3814.807</v>
      </c>
      <c r="I547" s="98">
        <v>3814.807</v>
      </c>
      <c r="J547" s="99">
        <f t="shared" si="25"/>
        <v>100</v>
      </c>
    </row>
    <row r="548" spans="1:10" ht="31.5">
      <c r="A548" s="20" t="s">
        <v>548</v>
      </c>
      <c r="B548" s="14" t="s">
        <v>118</v>
      </c>
      <c r="C548" s="21" t="s">
        <v>26</v>
      </c>
      <c r="D548" s="21" t="s">
        <v>8</v>
      </c>
      <c r="E548" s="21" t="s">
        <v>549</v>
      </c>
      <c r="F548" s="21"/>
      <c r="G548" s="15"/>
      <c r="H548" s="98">
        <f>H549+H550</f>
        <v>32924.17646</v>
      </c>
      <c r="I548" s="98">
        <f>I549+I550</f>
        <v>32911.37133</v>
      </c>
      <c r="J548" s="99">
        <f t="shared" si="25"/>
        <v>99.96110721245964</v>
      </c>
    </row>
    <row r="549" spans="1:10" ht="47.25">
      <c r="A549" s="20" t="s">
        <v>114</v>
      </c>
      <c r="B549" s="14" t="s">
        <v>118</v>
      </c>
      <c r="C549" s="21" t="s">
        <v>26</v>
      </c>
      <c r="D549" s="21" t="s">
        <v>8</v>
      </c>
      <c r="E549" s="21" t="s">
        <v>549</v>
      </c>
      <c r="F549" s="21" t="s">
        <v>101</v>
      </c>
      <c r="G549" s="15"/>
      <c r="H549" s="98">
        <f>25523.4+1640.72+153.56275</f>
        <v>27317.682750000004</v>
      </c>
      <c r="I549" s="98">
        <v>27314.87762</v>
      </c>
      <c r="J549" s="99">
        <f t="shared" si="25"/>
        <v>99.98973144967795</v>
      </c>
    </row>
    <row r="550" spans="1:10" ht="47.25">
      <c r="A550" s="20" t="s">
        <v>113</v>
      </c>
      <c r="B550" s="14" t="s">
        <v>118</v>
      </c>
      <c r="C550" s="21" t="s">
        <v>26</v>
      </c>
      <c r="D550" s="21" t="s">
        <v>8</v>
      </c>
      <c r="E550" s="21" t="s">
        <v>549</v>
      </c>
      <c r="F550" s="21" t="s">
        <v>112</v>
      </c>
      <c r="G550" s="15"/>
      <c r="H550" s="98">
        <f>5404.85+168.5+33.14371</f>
        <v>5606.493710000001</v>
      </c>
      <c r="I550" s="98">
        <v>5596.49371</v>
      </c>
      <c r="J550" s="99">
        <f t="shared" si="25"/>
        <v>99.82163540142453</v>
      </c>
    </row>
    <row r="551" spans="1:10" ht="31.5">
      <c r="A551" s="20" t="s">
        <v>550</v>
      </c>
      <c r="B551" s="14" t="s">
        <v>118</v>
      </c>
      <c r="C551" s="21" t="s">
        <v>26</v>
      </c>
      <c r="D551" s="21" t="s">
        <v>8</v>
      </c>
      <c r="E551" s="21" t="s">
        <v>551</v>
      </c>
      <c r="F551" s="21"/>
      <c r="G551" s="15"/>
      <c r="H551" s="98">
        <f>H552+H553</f>
        <v>1841.7</v>
      </c>
      <c r="I551" s="98">
        <f>I552+I553</f>
        <v>1578.78325</v>
      </c>
      <c r="J551" s="99">
        <f t="shared" si="25"/>
        <v>85.72423576043872</v>
      </c>
    </row>
    <row r="552" spans="1:10" ht="15.75">
      <c r="A552" s="20" t="s">
        <v>116</v>
      </c>
      <c r="B552" s="14" t="s">
        <v>118</v>
      </c>
      <c r="C552" s="21" t="s">
        <v>26</v>
      </c>
      <c r="D552" s="21" t="s">
        <v>8</v>
      </c>
      <c r="E552" s="21" t="s">
        <v>551</v>
      </c>
      <c r="F552" s="21" t="s">
        <v>115</v>
      </c>
      <c r="G552" s="15"/>
      <c r="H552" s="98">
        <v>1549.7</v>
      </c>
      <c r="I552" s="98">
        <v>1300.93925</v>
      </c>
      <c r="J552" s="99">
        <f t="shared" si="25"/>
        <v>83.9478124798348</v>
      </c>
    </row>
    <row r="553" spans="1:10" ht="15.75">
      <c r="A553" s="20" t="s">
        <v>126</v>
      </c>
      <c r="B553" s="14" t="s">
        <v>118</v>
      </c>
      <c r="C553" s="21" t="s">
        <v>26</v>
      </c>
      <c r="D553" s="21" t="s">
        <v>8</v>
      </c>
      <c r="E553" s="21" t="s">
        <v>551</v>
      </c>
      <c r="F553" s="21" t="s">
        <v>125</v>
      </c>
      <c r="G553" s="15"/>
      <c r="H553" s="98">
        <v>292</v>
      </c>
      <c r="I553" s="98">
        <v>277.844</v>
      </c>
      <c r="J553" s="99">
        <f t="shared" si="25"/>
        <v>95.15205479452055</v>
      </c>
    </row>
    <row r="554" spans="1:10" ht="47.25">
      <c r="A554" s="20" t="s">
        <v>552</v>
      </c>
      <c r="B554" s="14" t="s">
        <v>118</v>
      </c>
      <c r="C554" s="21" t="s">
        <v>26</v>
      </c>
      <c r="D554" s="21" t="s">
        <v>8</v>
      </c>
      <c r="E554" s="21" t="s">
        <v>553</v>
      </c>
      <c r="F554" s="21"/>
      <c r="G554" s="15"/>
      <c r="H554" s="98">
        <f>H555+H556</f>
        <v>1609.48546</v>
      </c>
      <c r="I554" s="98">
        <f>I555+I556</f>
        <v>1242.0984799999999</v>
      </c>
      <c r="J554" s="99">
        <f t="shared" si="25"/>
        <v>77.17363784075438</v>
      </c>
    </row>
    <row r="555" spans="1:10" ht="47.25">
      <c r="A555" s="20" t="s">
        <v>114</v>
      </c>
      <c r="B555" s="14" t="s">
        <v>118</v>
      </c>
      <c r="C555" s="21" t="s">
        <v>26</v>
      </c>
      <c r="D555" s="21" t="s">
        <v>8</v>
      </c>
      <c r="E555" s="21" t="s">
        <v>553</v>
      </c>
      <c r="F555" s="21" t="s">
        <v>101</v>
      </c>
      <c r="G555" s="15"/>
      <c r="H555" s="98">
        <f>1386.95-72.46454</f>
        <v>1314.48546</v>
      </c>
      <c r="I555" s="98">
        <v>1039.83469</v>
      </c>
      <c r="J555" s="99">
        <f t="shared" si="25"/>
        <v>79.10583430873399</v>
      </c>
    </row>
    <row r="556" spans="1:10" ht="47.25">
      <c r="A556" s="20" t="s">
        <v>113</v>
      </c>
      <c r="B556" s="14" t="s">
        <v>118</v>
      </c>
      <c r="C556" s="21" t="s">
        <v>26</v>
      </c>
      <c r="D556" s="21" t="s">
        <v>8</v>
      </c>
      <c r="E556" s="21" t="s">
        <v>553</v>
      </c>
      <c r="F556" s="21" t="s">
        <v>112</v>
      </c>
      <c r="G556" s="15"/>
      <c r="H556" s="98">
        <v>295</v>
      </c>
      <c r="I556" s="98">
        <v>202.26379</v>
      </c>
      <c r="J556" s="99">
        <f t="shared" si="25"/>
        <v>68.56399661016948</v>
      </c>
    </row>
    <row r="557" spans="1:10" ht="31.5">
      <c r="A557" s="20" t="s">
        <v>554</v>
      </c>
      <c r="B557" s="14" t="s">
        <v>118</v>
      </c>
      <c r="C557" s="21" t="s">
        <v>26</v>
      </c>
      <c r="D557" s="21" t="s">
        <v>8</v>
      </c>
      <c r="E557" s="21" t="s">
        <v>555</v>
      </c>
      <c r="F557" s="21"/>
      <c r="G557" s="15"/>
      <c r="H557" s="98">
        <f>SUM(H558:H561)</f>
        <v>3868.21</v>
      </c>
      <c r="I557" s="98">
        <f>SUM(I558:I561)</f>
        <v>3538.197</v>
      </c>
      <c r="J557" s="99">
        <f t="shared" si="25"/>
        <v>91.46858624531761</v>
      </c>
    </row>
    <row r="558" spans="1:10" ht="47.25">
      <c r="A558" s="20" t="s">
        <v>114</v>
      </c>
      <c r="B558" s="14" t="s">
        <v>118</v>
      </c>
      <c r="C558" s="21" t="s">
        <v>26</v>
      </c>
      <c r="D558" s="21" t="s">
        <v>8</v>
      </c>
      <c r="E558" s="21" t="s">
        <v>555</v>
      </c>
      <c r="F558" s="21" t="s">
        <v>101</v>
      </c>
      <c r="G558" s="15"/>
      <c r="H558" s="98">
        <v>877.563</v>
      </c>
      <c r="I558" s="98">
        <v>877.563</v>
      </c>
      <c r="J558" s="99">
        <f t="shared" si="25"/>
        <v>100</v>
      </c>
    </row>
    <row r="559" spans="1:10" ht="15.75">
      <c r="A559" s="20" t="s">
        <v>116</v>
      </c>
      <c r="B559" s="14" t="s">
        <v>118</v>
      </c>
      <c r="C559" s="21" t="s">
        <v>26</v>
      </c>
      <c r="D559" s="21" t="s">
        <v>8</v>
      </c>
      <c r="E559" s="21" t="s">
        <v>555</v>
      </c>
      <c r="F559" s="21" t="s">
        <v>115</v>
      </c>
      <c r="G559" s="15"/>
      <c r="H559" s="98">
        <v>2168.284</v>
      </c>
      <c r="I559" s="98">
        <v>2138.271</v>
      </c>
      <c r="J559" s="99">
        <f t="shared" si="25"/>
        <v>98.61581785411875</v>
      </c>
    </row>
    <row r="560" spans="1:10" ht="47.25">
      <c r="A560" s="20" t="s">
        <v>113</v>
      </c>
      <c r="B560" s="14" t="s">
        <v>118</v>
      </c>
      <c r="C560" s="21" t="s">
        <v>26</v>
      </c>
      <c r="D560" s="21" t="s">
        <v>8</v>
      </c>
      <c r="E560" s="21" t="s">
        <v>555</v>
      </c>
      <c r="F560" s="21" t="s">
        <v>112</v>
      </c>
      <c r="G560" s="15"/>
      <c r="H560" s="98">
        <v>212.363</v>
      </c>
      <c r="I560" s="98">
        <v>212.363</v>
      </c>
      <c r="J560" s="99">
        <f t="shared" si="25"/>
        <v>100</v>
      </c>
    </row>
    <row r="561" spans="1:10" ht="15.75">
      <c r="A561" s="20" t="s">
        <v>126</v>
      </c>
      <c r="B561" s="14" t="s">
        <v>118</v>
      </c>
      <c r="C561" s="21" t="s">
        <v>26</v>
      </c>
      <c r="D561" s="21" t="s">
        <v>8</v>
      </c>
      <c r="E561" s="21" t="s">
        <v>555</v>
      </c>
      <c r="F561" s="21" t="s">
        <v>125</v>
      </c>
      <c r="G561" s="15"/>
      <c r="H561" s="98">
        <v>610</v>
      </c>
      <c r="I561" s="98">
        <v>310</v>
      </c>
      <c r="J561" s="99">
        <f t="shared" si="25"/>
        <v>50.81967213114754</v>
      </c>
    </row>
    <row r="562" spans="1:10" ht="31.5" hidden="1">
      <c r="A562" s="20" t="s">
        <v>556</v>
      </c>
      <c r="B562" s="14" t="s">
        <v>118</v>
      </c>
      <c r="C562" s="21" t="s">
        <v>26</v>
      </c>
      <c r="D562" s="21" t="s">
        <v>8</v>
      </c>
      <c r="E562" s="21" t="s">
        <v>557</v>
      </c>
      <c r="F562" s="21"/>
      <c r="G562" s="15"/>
      <c r="H562" s="98">
        <f>H563+H564</f>
        <v>0</v>
      </c>
      <c r="I562" s="98">
        <f>I563+I564</f>
        <v>0</v>
      </c>
      <c r="J562" s="99" t="e">
        <f t="shared" si="25"/>
        <v>#DIV/0!</v>
      </c>
    </row>
    <row r="563" spans="1:10" ht="15.75" hidden="1">
      <c r="A563" s="20" t="s">
        <v>116</v>
      </c>
      <c r="B563" s="14" t="s">
        <v>118</v>
      </c>
      <c r="C563" s="21" t="s">
        <v>26</v>
      </c>
      <c r="D563" s="21" t="s">
        <v>8</v>
      </c>
      <c r="E563" s="21" t="s">
        <v>557</v>
      </c>
      <c r="F563" s="21" t="s">
        <v>115</v>
      </c>
      <c r="G563" s="15"/>
      <c r="H563" s="98"/>
      <c r="I563" s="98"/>
      <c r="J563" s="99" t="e">
        <f t="shared" si="25"/>
        <v>#DIV/0!</v>
      </c>
    </row>
    <row r="564" spans="1:10" ht="15.75" hidden="1">
      <c r="A564" s="20" t="s">
        <v>126</v>
      </c>
      <c r="B564" s="14" t="s">
        <v>118</v>
      </c>
      <c r="C564" s="21" t="s">
        <v>26</v>
      </c>
      <c r="D564" s="21" t="s">
        <v>8</v>
      </c>
      <c r="E564" s="21" t="s">
        <v>557</v>
      </c>
      <c r="F564" s="21" t="s">
        <v>125</v>
      </c>
      <c r="G564" s="15"/>
      <c r="H564" s="98"/>
      <c r="I564" s="98"/>
      <c r="J564" s="99" t="e">
        <f t="shared" si="25"/>
        <v>#DIV/0!</v>
      </c>
    </row>
    <row r="565" spans="1:10" ht="31.5">
      <c r="A565" s="20" t="s">
        <v>558</v>
      </c>
      <c r="B565" s="14" t="s">
        <v>118</v>
      </c>
      <c r="C565" s="21" t="s">
        <v>26</v>
      </c>
      <c r="D565" s="21" t="s">
        <v>8</v>
      </c>
      <c r="E565" s="21" t="s">
        <v>559</v>
      </c>
      <c r="F565" s="21"/>
      <c r="G565" s="15"/>
      <c r="H565" s="98">
        <f>H566+H567</f>
        <v>1692.96024</v>
      </c>
      <c r="I565" s="98">
        <f>I566+I567</f>
        <v>1438.13331</v>
      </c>
      <c r="J565" s="99">
        <f t="shared" si="25"/>
        <v>84.94784910010644</v>
      </c>
    </row>
    <row r="566" spans="1:10" ht="47.25">
      <c r="A566" s="20" t="s">
        <v>114</v>
      </c>
      <c r="B566" s="14" t="s">
        <v>118</v>
      </c>
      <c r="C566" s="21" t="s">
        <v>26</v>
      </c>
      <c r="D566" s="21" t="s">
        <v>8</v>
      </c>
      <c r="E566" s="21" t="s">
        <v>559</v>
      </c>
      <c r="F566" s="21" t="s">
        <v>101</v>
      </c>
      <c r="G566" s="15"/>
      <c r="H566" s="98">
        <f>1759.784-231.21327</f>
        <v>1528.5707300000001</v>
      </c>
      <c r="I566" s="98">
        <v>1273.7438</v>
      </c>
      <c r="J566" s="99">
        <f t="shared" si="25"/>
        <v>83.32907172702436</v>
      </c>
    </row>
    <row r="567" spans="1:10" ht="47.25">
      <c r="A567" s="20" t="s">
        <v>113</v>
      </c>
      <c r="B567" s="14" t="s">
        <v>118</v>
      </c>
      <c r="C567" s="21" t="s">
        <v>26</v>
      </c>
      <c r="D567" s="21" t="s">
        <v>8</v>
      </c>
      <c r="E567" s="21" t="s">
        <v>559</v>
      </c>
      <c r="F567" s="21" t="s">
        <v>112</v>
      </c>
      <c r="G567" s="15"/>
      <c r="H567" s="98">
        <f>272.73-108.34049</f>
        <v>164.38951000000003</v>
      </c>
      <c r="I567" s="98">
        <f>272.73-108.34049</f>
        <v>164.38951000000003</v>
      </c>
      <c r="J567" s="99">
        <f t="shared" si="25"/>
        <v>100</v>
      </c>
    </row>
    <row r="568" spans="1:10" ht="31.5">
      <c r="A568" s="20" t="s">
        <v>560</v>
      </c>
      <c r="B568" s="14" t="s">
        <v>118</v>
      </c>
      <c r="C568" s="21" t="s">
        <v>26</v>
      </c>
      <c r="D568" s="21" t="s">
        <v>8</v>
      </c>
      <c r="E568" s="21" t="s">
        <v>561</v>
      </c>
      <c r="F568" s="21"/>
      <c r="G568" s="15"/>
      <c r="H568" s="98">
        <f>SUM(H569:H570)</f>
        <v>9202.80638</v>
      </c>
      <c r="I568" s="98">
        <f>SUM(I569:I570)</f>
        <v>8038.56811</v>
      </c>
      <c r="J568" s="99">
        <f t="shared" si="25"/>
        <v>87.34909524414009</v>
      </c>
    </row>
    <row r="569" spans="1:10" ht="47.25">
      <c r="A569" s="20" t="s">
        <v>114</v>
      </c>
      <c r="B569" s="14" t="s">
        <v>118</v>
      </c>
      <c r="C569" s="21" t="s">
        <v>26</v>
      </c>
      <c r="D569" s="21" t="s">
        <v>8</v>
      </c>
      <c r="E569" s="21" t="s">
        <v>561</v>
      </c>
      <c r="F569" s="21" t="s">
        <v>101</v>
      </c>
      <c r="G569" s="15"/>
      <c r="H569" s="98">
        <f>7475.89471+92.87734</f>
        <v>7568.77205</v>
      </c>
      <c r="I569" s="98">
        <v>6773.20655</v>
      </c>
      <c r="J569" s="99">
        <f t="shared" si="25"/>
        <v>89.48884317370874</v>
      </c>
    </row>
    <row r="570" spans="1:10" ht="47.25">
      <c r="A570" s="20" t="s">
        <v>113</v>
      </c>
      <c r="B570" s="14" t="s">
        <v>118</v>
      </c>
      <c r="C570" s="21" t="s">
        <v>26</v>
      </c>
      <c r="D570" s="21" t="s">
        <v>8</v>
      </c>
      <c r="E570" s="21" t="s">
        <v>561</v>
      </c>
      <c r="F570" s="21" t="s">
        <v>112</v>
      </c>
      <c r="G570" s="15"/>
      <c r="H570" s="98">
        <f>1627.68433+6.35</f>
        <v>1634.03433</v>
      </c>
      <c r="I570" s="98">
        <v>1265.36156</v>
      </c>
      <c r="J570" s="99">
        <f t="shared" si="25"/>
        <v>77.43788100216965</v>
      </c>
    </row>
    <row r="571" spans="1:10" ht="31.5">
      <c r="A571" s="20" t="s">
        <v>562</v>
      </c>
      <c r="B571" s="14" t="s">
        <v>118</v>
      </c>
      <c r="C571" s="21" t="s">
        <v>26</v>
      </c>
      <c r="D571" s="21" t="s">
        <v>8</v>
      </c>
      <c r="E571" s="21" t="s">
        <v>563</v>
      </c>
      <c r="F571" s="21"/>
      <c r="G571" s="15"/>
      <c r="H571" s="98">
        <f>H572+H573</f>
        <v>17385.388</v>
      </c>
      <c r="I571" s="98">
        <f>I572+I573</f>
        <v>17385.388</v>
      </c>
      <c r="J571" s="99">
        <f t="shared" si="25"/>
        <v>100</v>
      </c>
    </row>
    <row r="572" spans="1:10" ht="15.75">
      <c r="A572" s="20" t="s">
        <v>116</v>
      </c>
      <c r="B572" s="14" t="s">
        <v>118</v>
      </c>
      <c r="C572" s="21" t="s">
        <v>26</v>
      </c>
      <c r="D572" s="21" t="s">
        <v>8</v>
      </c>
      <c r="E572" s="21" t="s">
        <v>563</v>
      </c>
      <c r="F572" s="21" t="s">
        <v>115</v>
      </c>
      <c r="G572" s="15"/>
      <c r="H572" s="98">
        <v>14380.092</v>
      </c>
      <c r="I572" s="98">
        <v>14380.092</v>
      </c>
      <c r="J572" s="99">
        <f t="shared" si="25"/>
        <v>100</v>
      </c>
    </row>
    <row r="573" spans="1:10" ht="15.75">
      <c r="A573" s="20" t="s">
        <v>126</v>
      </c>
      <c r="B573" s="14" t="s">
        <v>118</v>
      </c>
      <c r="C573" s="21" t="s">
        <v>26</v>
      </c>
      <c r="D573" s="21" t="s">
        <v>8</v>
      </c>
      <c r="E573" s="21" t="s">
        <v>563</v>
      </c>
      <c r="F573" s="21" t="s">
        <v>125</v>
      </c>
      <c r="G573" s="15"/>
      <c r="H573" s="98">
        <v>3005.296</v>
      </c>
      <c r="I573" s="98">
        <v>3005.296</v>
      </c>
      <c r="J573" s="99">
        <f t="shared" si="25"/>
        <v>100</v>
      </c>
    </row>
    <row r="574" spans="1:10" ht="31.5">
      <c r="A574" s="20" t="s">
        <v>564</v>
      </c>
      <c r="B574" s="14" t="s">
        <v>118</v>
      </c>
      <c r="C574" s="21" t="s">
        <v>26</v>
      </c>
      <c r="D574" s="21" t="s">
        <v>8</v>
      </c>
      <c r="E574" s="21" t="s">
        <v>565</v>
      </c>
      <c r="F574" s="21"/>
      <c r="G574" s="15"/>
      <c r="H574" s="98">
        <f>H575+H576</f>
        <v>80.65</v>
      </c>
      <c r="I574" s="98">
        <f>I575+I576</f>
        <v>0</v>
      </c>
      <c r="J574" s="99">
        <f t="shared" si="25"/>
        <v>0</v>
      </c>
    </row>
    <row r="575" spans="1:10" ht="47.25">
      <c r="A575" s="20" t="s">
        <v>114</v>
      </c>
      <c r="B575" s="14" t="s">
        <v>118</v>
      </c>
      <c r="C575" s="21" t="s">
        <v>26</v>
      </c>
      <c r="D575" s="21" t="s">
        <v>8</v>
      </c>
      <c r="E575" s="21" t="s">
        <v>565</v>
      </c>
      <c r="F575" s="21" t="s">
        <v>101</v>
      </c>
      <c r="G575" s="15"/>
      <c r="H575" s="98">
        <f>162-115</f>
        <v>47</v>
      </c>
      <c r="I575" s="98"/>
      <c r="J575" s="99">
        <f t="shared" si="25"/>
        <v>0</v>
      </c>
    </row>
    <row r="576" spans="1:10" ht="47.25">
      <c r="A576" s="20" t="s">
        <v>113</v>
      </c>
      <c r="B576" s="14" t="s">
        <v>118</v>
      </c>
      <c r="C576" s="21" t="s">
        <v>26</v>
      </c>
      <c r="D576" s="21" t="s">
        <v>8</v>
      </c>
      <c r="E576" s="21" t="s">
        <v>565</v>
      </c>
      <c r="F576" s="21" t="s">
        <v>112</v>
      </c>
      <c r="G576" s="15"/>
      <c r="H576" s="98">
        <f>40-6.35</f>
        <v>33.65</v>
      </c>
      <c r="I576" s="98"/>
      <c r="J576" s="99">
        <f t="shared" si="25"/>
        <v>0</v>
      </c>
    </row>
    <row r="577" spans="1:10" ht="31.5">
      <c r="A577" s="20" t="s">
        <v>566</v>
      </c>
      <c r="B577" s="14" t="s">
        <v>118</v>
      </c>
      <c r="C577" s="21" t="s">
        <v>26</v>
      </c>
      <c r="D577" s="21" t="s">
        <v>8</v>
      </c>
      <c r="E577" s="21" t="s">
        <v>567</v>
      </c>
      <c r="F577" s="21"/>
      <c r="G577" s="15"/>
      <c r="H577" s="98">
        <f>H578</f>
        <v>1435.23</v>
      </c>
      <c r="I577" s="98">
        <f>I578</f>
        <v>1435.23</v>
      </c>
      <c r="J577" s="99">
        <f t="shared" si="25"/>
        <v>100</v>
      </c>
    </row>
    <row r="578" spans="1:10" ht="15.75">
      <c r="A578" s="20" t="s">
        <v>116</v>
      </c>
      <c r="B578" s="14" t="s">
        <v>118</v>
      </c>
      <c r="C578" s="21" t="s">
        <v>26</v>
      </c>
      <c r="D578" s="21" t="s">
        <v>8</v>
      </c>
      <c r="E578" s="21" t="s">
        <v>567</v>
      </c>
      <c r="F578" s="21" t="s">
        <v>115</v>
      </c>
      <c r="G578" s="15"/>
      <c r="H578" s="99">
        <v>1435.23</v>
      </c>
      <c r="I578" s="99">
        <v>1435.23</v>
      </c>
      <c r="J578" s="99">
        <f t="shared" si="25"/>
        <v>100</v>
      </c>
    </row>
    <row r="579" spans="1:10" ht="31.5">
      <c r="A579" s="54" t="s">
        <v>568</v>
      </c>
      <c r="B579" s="21" t="s">
        <v>118</v>
      </c>
      <c r="C579" s="21" t="s">
        <v>26</v>
      </c>
      <c r="D579" s="21" t="s">
        <v>8</v>
      </c>
      <c r="E579" s="21" t="s">
        <v>569</v>
      </c>
      <c r="F579" s="21"/>
      <c r="G579" s="85">
        <f aca="true" t="shared" si="26" ref="G579:G585">I579+J579</f>
        <v>173246.602</v>
      </c>
      <c r="H579" s="99">
        <f>H580+H583</f>
        <v>173146.602</v>
      </c>
      <c r="I579" s="99">
        <f>I580+I583</f>
        <v>173146.602</v>
      </c>
      <c r="J579" s="99">
        <f t="shared" si="25"/>
        <v>100</v>
      </c>
    </row>
    <row r="580" spans="1:10" ht="110.25">
      <c r="A580" s="54" t="s">
        <v>570</v>
      </c>
      <c r="B580" s="21" t="s">
        <v>118</v>
      </c>
      <c r="C580" s="21" t="s">
        <v>26</v>
      </c>
      <c r="D580" s="21" t="s">
        <v>8</v>
      </c>
      <c r="E580" s="21" t="s">
        <v>571</v>
      </c>
      <c r="F580" s="21"/>
      <c r="G580" s="85">
        <f t="shared" si="26"/>
        <v>171558.853</v>
      </c>
      <c r="H580" s="99">
        <f>H581+H582</f>
        <v>171458.853</v>
      </c>
      <c r="I580" s="99">
        <f>I581+I582</f>
        <v>171458.853</v>
      </c>
      <c r="J580" s="99">
        <f t="shared" si="25"/>
        <v>100</v>
      </c>
    </row>
    <row r="581" spans="1:10" ht="47.25">
      <c r="A581" s="20" t="s">
        <v>114</v>
      </c>
      <c r="B581" s="21" t="s">
        <v>118</v>
      </c>
      <c r="C581" s="21" t="s">
        <v>26</v>
      </c>
      <c r="D581" s="21" t="s">
        <v>8</v>
      </c>
      <c r="E581" s="21" t="s">
        <v>571</v>
      </c>
      <c r="F581" s="21" t="s">
        <v>101</v>
      </c>
      <c r="G581" s="85">
        <f t="shared" si="26"/>
        <v>137665.853</v>
      </c>
      <c r="H581" s="99">
        <f>138169.853-604</f>
        <v>137565.853</v>
      </c>
      <c r="I581" s="99">
        <f>138169.853-604</f>
        <v>137565.853</v>
      </c>
      <c r="J581" s="99">
        <f t="shared" si="25"/>
        <v>100</v>
      </c>
    </row>
    <row r="582" spans="1:10" ht="47.25">
      <c r="A582" s="20" t="s">
        <v>113</v>
      </c>
      <c r="B582" s="21" t="s">
        <v>118</v>
      </c>
      <c r="C582" s="21" t="s">
        <v>26</v>
      </c>
      <c r="D582" s="21" t="s">
        <v>8</v>
      </c>
      <c r="E582" s="21" t="s">
        <v>571</v>
      </c>
      <c r="F582" s="21" t="s">
        <v>112</v>
      </c>
      <c r="G582" s="85">
        <f t="shared" si="26"/>
        <v>33993</v>
      </c>
      <c r="H582" s="99">
        <v>33893</v>
      </c>
      <c r="I582" s="99">
        <v>33893</v>
      </c>
      <c r="J582" s="99">
        <f t="shared" si="25"/>
        <v>100</v>
      </c>
    </row>
    <row r="583" spans="1:10" ht="31.5">
      <c r="A583" s="54" t="s">
        <v>572</v>
      </c>
      <c r="B583" s="21" t="s">
        <v>118</v>
      </c>
      <c r="C583" s="21" t="s">
        <v>26</v>
      </c>
      <c r="D583" s="21" t="s">
        <v>8</v>
      </c>
      <c r="E583" s="21" t="s">
        <v>573</v>
      </c>
      <c r="F583" s="21"/>
      <c r="G583" s="85">
        <f t="shared" si="26"/>
        <v>1787.749</v>
      </c>
      <c r="H583" s="99">
        <f>H584+H585</f>
        <v>1687.749</v>
      </c>
      <c r="I583" s="99">
        <f>I584+I585</f>
        <v>1687.749</v>
      </c>
      <c r="J583" s="99">
        <f t="shared" si="25"/>
        <v>100</v>
      </c>
    </row>
    <row r="584" spans="1:10" ht="47.25">
      <c r="A584" s="20" t="s">
        <v>114</v>
      </c>
      <c r="B584" s="21" t="s">
        <v>118</v>
      </c>
      <c r="C584" s="21" t="s">
        <v>26</v>
      </c>
      <c r="D584" s="21" t="s">
        <v>8</v>
      </c>
      <c r="E584" s="21" t="s">
        <v>573</v>
      </c>
      <c r="F584" s="21" t="s">
        <v>101</v>
      </c>
      <c r="G584" s="85">
        <f t="shared" si="26"/>
        <v>1317.949</v>
      </c>
      <c r="H584" s="99">
        <f>1191.549+26.4</f>
        <v>1217.949</v>
      </c>
      <c r="I584" s="99">
        <f>1191.549+26.4</f>
        <v>1217.949</v>
      </c>
      <c r="J584" s="99">
        <f t="shared" si="25"/>
        <v>100</v>
      </c>
    </row>
    <row r="585" spans="1:10" ht="47.25">
      <c r="A585" s="20" t="s">
        <v>113</v>
      </c>
      <c r="B585" s="21" t="s">
        <v>118</v>
      </c>
      <c r="C585" s="21" t="s">
        <v>26</v>
      </c>
      <c r="D585" s="21" t="s">
        <v>8</v>
      </c>
      <c r="E585" s="21" t="s">
        <v>573</v>
      </c>
      <c r="F585" s="21" t="s">
        <v>112</v>
      </c>
      <c r="G585" s="85">
        <f t="shared" si="26"/>
        <v>569.8</v>
      </c>
      <c r="H585" s="99">
        <f>459.8+10</f>
        <v>469.8</v>
      </c>
      <c r="I585" s="99">
        <f>459.8+10</f>
        <v>469.8</v>
      </c>
      <c r="J585" s="99">
        <f t="shared" si="25"/>
        <v>100</v>
      </c>
    </row>
    <row r="586" spans="1:10" ht="15.75">
      <c r="A586" s="20" t="s">
        <v>28</v>
      </c>
      <c r="B586" s="21" t="s">
        <v>118</v>
      </c>
      <c r="C586" s="21" t="s">
        <v>26</v>
      </c>
      <c r="D586" s="21" t="s">
        <v>18</v>
      </c>
      <c r="E586" s="21"/>
      <c r="F586" s="21"/>
      <c r="G586" s="15" t="e">
        <f>#REF!+#REF!+#REF!</f>
        <v>#REF!</v>
      </c>
      <c r="H586" s="98">
        <f>+H587+H648</f>
        <v>477966.00983</v>
      </c>
      <c r="I586" s="98">
        <f>+I587+I648</f>
        <v>476220.58866</v>
      </c>
      <c r="J586" s="99">
        <f t="shared" si="25"/>
        <v>99.63482316020321</v>
      </c>
    </row>
    <row r="587" spans="1:10" ht="47.25">
      <c r="A587" s="20" t="s">
        <v>540</v>
      </c>
      <c r="B587" s="21" t="s">
        <v>118</v>
      </c>
      <c r="C587" s="21" t="s">
        <v>26</v>
      </c>
      <c r="D587" s="21" t="s">
        <v>18</v>
      </c>
      <c r="E587" s="21" t="s">
        <v>541</v>
      </c>
      <c r="F587" s="21"/>
      <c r="G587" s="15" t="e">
        <f>#REF!+#REF!+#REF!</f>
        <v>#REF!</v>
      </c>
      <c r="H587" s="98">
        <f>H588+H623</f>
        <v>139402.19883</v>
      </c>
      <c r="I587" s="98">
        <f>I588+I623</f>
        <v>137656.77766</v>
      </c>
      <c r="J587" s="99">
        <f t="shared" si="25"/>
        <v>98.74792421880765</v>
      </c>
    </row>
    <row r="588" spans="1:10" ht="31.5">
      <c r="A588" s="20" t="s">
        <v>574</v>
      </c>
      <c r="B588" s="21" t="s">
        <v>118</v>
      </c>
      <c r="C588" s="21" t="s">
        <v>26</v>
      </c>
      <c r="D588" s="21" t="s">
        <v>18</v>
      </c>
      <c r="E588" s="21" t="s">
        <v>575</v>
      </c>
      <c r="F588" s="21"/>
      <c r="G588" s="15"/>
      <c r="H588" s="98">
        <f>H589+H592+H595+H598+H601+H606+H609+H613+H620+H618</f>
        <v>102776.35</v>
      </c>
      <c r="I588" s="98">
        <f>I589+I592+I595+I598+I601+I606+I609+I613+I620+I618</f>
        <v>101331.09537</v>
      </c>
      <c r="J588" s="99">
        <f t="shared" si="25"/>
        <v>98.59378677098378</v>
      </c>
    </row>
    <row r="589" spans="1:10" ht="31.5">
      <c r="A589" s="20" t="s">
        <v>576</v>
      </c>
      <c r="B589" s="21" t="s">
        <v>118</v>
      </c>
      <c r="C589" s="21" t="s">
        <v>26</v>
      </c>
      <c r="D589" s="21" t="s">
        <v>18</v>
      </c>
      <c r="E589" s="21" t="s">
        <v>577</v>
      </c>
      <c r="F589" s="21"/>
      <c r="G589" s="15"/>
      <c r="H589" s="98">
        <f>H590+H591</f>
        <v>35915.641</v>
      </c>
      <c r="I589" s="98">
        <f>I590+I591</f>
        <v>35915.641</v>
      </c>
      <c r="J589" s="99">
        <f t="shared" si="25"/>
        <v>100</v>
      </c>
    </row>
    <row r="590" spans="1:10" ht="47.25">
      <c r="A590" s="20" t="s">
        <v>114</v>
      </c>
      <c r="B590" s="21" t="s">
        <v>118</v>
      </c>
      <c r="C590" s="21" t="s">
        <v>26</v>
      </c>
      <c r="D590" s="21" t="s">
        <v>18</v>
      </c>
      <c r="E590" s="21" t="s">
        <v>577</v>
      </c>
      <c r="F590" s="21" t="s">
        <v>101</v>
      </c>
      <c r="G590" s="15" t="e">
        <f>#REF!+#REF!+#REF!</f>
        <v>#REF!</v>
      </c>
      <c r="H590" s="98">
        <v>31365.337</v>
      </c>
      <c r="I590" s="98">
        <v>31365.337</v>
      </c>
      <c r="J590" s="99">
        <f t="shared" si="25"/>
        <v>100</v>
      </c>
    </row>
    <row r="591" spans="1:10" ht="47.25">
      <c r="A591" s="20" t="s">
        <v>113</v>
      </c>
      <c r="B591" s="21" t="s">
        <v>118</v>
      </c>
      <c r="C591" s="21" t="s">
        <v>26</v>
      </c>
      <c r="D591" s="21" t="s">
        <v>18</v>
      </c>
      <c r="E591" s="21" t="s">
        <v>577</v>
      </c>
      <c r="F591" s="21" t="s">
        <v>112</v>
      </c>
      <c r="G591" s="15"/>
      <c r="H591" s="98">
        <v>4550.304</v>
      </c>
      <c r="I591" s="98">
        <v>4550.304</v>
      </c>
      <c r="J591" s="99">
        <f t="shared" si="25"/>
        <v>100</v>
      </c>
    </row>
    <row r="592" spans="1:10" ht="15.75">
      <c r="A592" s="20" t="s">
        <v>578</v>
      </c>
      <c r="B592" s="21" t="s">
        <v>118</v>
      </c>
      <c r="C592" s="21" t="s">
        <v>26</v>
      </c>
      <c r="D592" s="21" t="s">
        <v>18</v>
      </c>
      <c r="E592" s="21" t="s">
        <v>579</v>
      </c>
      <c r="F592" s="21"/>
      <c r="G592" s="15"/>
      <c r="H592" s="98">
        <f>H593+H594</f>
        <v>33724.14121</v>
      </c>
      <c r="I592" s="98">
        <f>I593+I594</f>
        <v>33690.49659</v>
      </c>
      <c r="J592" s="99">
        <f t="shared" si="25"/>
        <v>99.90023579906602</v>
      </c>
    </row>
    <row r="593" spans="1:10" ht="47.25">
      <c r="A593" s="20" t="s">
        <v>114</v>
      </c>
      <c r="B593" s="21" t="s">
        <v>118</v>
      </c>
      <c r="C593" s="21" t="s">
        <v>26</v>
      </c>
      <c r="D593" s="21" t="s">
        <v>18</v>
      </c>
      <c r="E593" s="21" t="s">
        <v>579</v>
      </c>
      <c r="F593" s="21" t="s">
        <v>101</v>
      </c>
      <c r="G593" s="15"/>
      <c r="H593" s="98">
        <f>28317.55+2044.6366-178.78168</f>
        <v>30183.40492</v>
      </c>
      <c r="I593" s="98">
        <v>30173.12755</v>
      </c>
      <c r="J593" s="99">
        <f t="shared" si="25"/>
        <v>99.9659502629765</v>
      </c>
    </row>
    <row r="594" spans="1:10" ht="47.25">
      <c r="A594" s="20" t="s">
        <v>113</v>
      </c>
      <c r="B594" s="21" t="s">
        <v>118</v>
      </c>
      <c r="C594" s="21" t="s">
        <v>26</v>
      </c>
      <c r="D594" s="21" t="s">
        <v>18</v>
      </c>
      <c r="E594" s="21" t="s">
        <v>579</v>
      </c>
      <c r="F594" s="21" t="s">
        <v>112</v>
      </c>
      <c r="G594" s="15"/>
      <c r="H594" s="98">
        <f>3402+172.88-34.14371</f>
        <v>3540.7362900000003</v>
      </c>
      <c r="I594" s="98">
        <v>3517.36904</v>
      </c>
      <c r="J594" s="99">
        <f t="shared" si="25"/>
        <v>99.34004545704249</v>
      </c>
    </row>
    <row r="595" spans="1:10" ht="31.5">
      <c r="A595" s="20" t="s">
        <v>580</v>
      </c>
      <c r="B595" s="21" t="s">
        <v>118</v>
      </c>
      <c r="C595" s="21" t="s">
        <v>26</v>
      </c>
      <c r="D595" s="21" t="s">
        <v>18</v>
      </c>
      <c r="E595" s="21" t="s">
        <v>581</v>
      </c>
      <c r="F595" s="21"/>
      <c r="G595" s="15"/>
      <c r="H595" s="98">
        <f>H596+H597</f>
        <v>1323.791</v>
      </c>
      <c r="I595" s="98">
        <f>I596+I597</f>
        <v>926.84805</v>
      </c>
      <c r="J595" s="99">
        <f t="shared" si="25"/>
        <v>70.01468132054079</v>
      </c>
    </row>
    <row r="596" spans="1:10" ht="15.75">
      <c r="A596" s="20" t="s">
        <v>116</v>
      </c>
      <c r="B596" s="21" t="s">
        <v>118</v>
      </c>
      <c r="C596" s="21" t="s">
        <v>26</v>
      </c>
      <c r="D596" s="21" t="s">
        <v>18</v>
      </c>
      <c r="E596" s="21" t="s">
        <v>581</v>
      </c>
      <c r="F596" s="21" t="s">
        <v>115</v>
      </c>
      <c r="G596" s="15"/>
      <c r="H596" s="98">
        <v>1207.791</v>
      </c>
      <c r="I596" s="98">
        <v>838.02105</v>
      </c>
      <c r="J596" s="99">
        <f t="shared" si="25"/>
        <v>69.38460793299502</v>
      </c>
    </row>
    <row r="597" spans="1:10" ht="15.75">
      <c r="A597" s="20" t="s">
        <v>126</v>
      </c>
      <c r="B597" s="21" t="s">
        <v>118</v>
      </c>
      <c r="C597" s="21" t="s">
        <v>26</v>
      </c>
      <c r="D597" s="21" t="s">
        <v>18</v>
      </c>
      <c r="E597" s="21" t="s">
        <v>581</v>
      </c>
      <c r="F597" s="21" t="s">
        <v>125</v>
      </c>
      <c r="G597" s="15"/>
      <c r="H597" s="98">
        <v>116</v>
      </c>
      <c r="I597" s="98">
        <v>88.827</v>
      </c>
      <c r="J597" s="99">
        <f t="shared" si="25"/>
        <v>76.57499999999999</v>
      </c>
    </row>
    <row r="598" spans="1:10" ht="47.25">
      <c r="A598" s="20" t="s">
        <v>582</v>
      </c>
      <c r="B598" s="21" t="s">
        <v>118</v>
      </c>
      <c r="C598" s="21" t="s">
        <v>26</v>
      </c>
      <c r="D598" s="21" t="s">
        <v>18</v>
      </c>
      <c r="E598" s="21" t="s">
        <v>583</v>
      </c>
      <c r="F598" s="21"/>
      <c r="G598" s="15"/>
      <c r="H598" s="98">
        <f>H599+H600</f>
        <v>959.342</v>
      </c>
      <c r="I598" s="98">
        <f>I599+I600</f>
        <v>811.49471</v>
      </c>
      <c r="J598" s="99">
        <f t="shared" si="25"/>
        <v>84.58867744766727</v>
      </c>
    </row>
    <row r="599" spans="1:10" ht="47.25">
      <c r="A599" s="20" t="s">
        <v>114</v>
      </c>
      <c r="B599" s="21" t="s">
        <v>118</v>
      </c>
      <c r="C599" s="21" t="s">
        <v>26</v>
      </c>
      <c r="D599" s="21" t="s">
        <v>18</v>
      </c>
      <c r="E599" s="21" t="s">
        <v>583</v>
      </c>
      <c r="F599" s="21" t="s">
        <v>101</v>
      </c>
      <c r="G599" s="15"/>
      <c r="H599" s="98">
        <v>856.342</v>
      </c>
      <c r="I599" s="98">
        <v>729.08981</v>
      </c>
      <c r="J599" s="99">
        <f t="shared" si="25"/>
        <v>85.140026998559</v>
      </c>
    </row>
    <row r="600" spans="1:10" ht="47.25">
      <c r="A600" s="20" t="s">
        <v>113</v>
      </c>
      <c r="B600" s="21" t="s">
        <v>118</v>
      </c>
      <c r="C600" s="21" t="s">
        <v>26</v>
      </c>
      <c r="D600" s="21" t="s">
        <v>18</v>
      </c>
      <c r="E600" s="21" t="s">
        <v>583</v>
      </c>
      <c r="F600" s="21" t="s">
        <v>112</v>
      </c>
      <c r="G600" s="15"/>
      <c r="H600" s="98">
        <v>103</v>
      </c>
      <c r="I600" s="98">
        <v>82.4049</v>
      </c>
      <c r="J600" s="99">
        <f t="shared" si="25"/>
        <v>80.0047572815534</v>
      </c>
    </row>
    <row r="601" spans="1:10" ht="31.5">
      <c r="A601" s="20" t="s">
        <v>584</v>
      </c>
      <c r="B601" s="21" t="s">
        <v>118</v>
      </c>
      <c r="C601" s="21" t="s">
        <v>26</v>
      </c>
      <c r="D601" s="21" t="s">
        <v>18</v>
      </c>
      <c r="E601" s="21" t="s">
        <v>585</v>
      </c>
      <c r="F601" s="21"/>
      <c r="G601" s="15"/>
      <c r="H601" s="98">
        <f>H602+H603+H604+H605</f>
        <v>2856.859</v>
      </c>
      <c r="I601" s="98">
        <f>I602+I603+I604+I605</f>
        <v>2797.907</v>
      </c>
      <c r="J601" s="99">
        <f aca="true" t="shared" si="27" ref="J601:J664">I601/H601*100</f>
        <v>97.93647498879014</v>
      </c>
    </row>
    <row r="602" spans="1:10" ht="47.25">
      <c r="A602" s="20" t="s">
        <v>114</v>
      </c>
      <c r="B602" s="21" t="s">
        <v>118</v>
      </c>
      <c r="C602" s="21" t="s">
        <v>26</v>
      </c>
      <c r="D602" s="21" t="s">
        <v>18</v>
      </c>
      <c r="E602" s="21" t="s">
        <v>585</v>
      </c>
      <c r="F602" s="21" t="s">
        <v>101</v>
      </c>
      <c r="G602" s="15"/>
      <c r="H602" s="98">
        <v>1506.793</v>
      </c>
      <c r="I602" s="98">
        <v>1497.841</v>
      </c>
      <c r="J602" s="99">
        <f t="shared" si="27"/>
        <v>99.40589052378131</v>
      </c>
    </row>
    <row r="603" spans="1:10" ht="15.75">
      <c r="A603" s="20" t="s">
        <v>116</v>
      </c>
      <c r="B603" s="21" t="s">
        <v>118</v>
      </c>
      <c r="C603" s="21" t="s">
        <v>26</v>
      </c>
      <c r="D603" s="21" t="s">
        <v>18</v>
      </c>
      <c r="E603" s="21" t="s">
        <v>585</v>
      </c>
      <c r="F603" s="21" t="s">
        <v>115</v>
      </c>
      <c r="G603" s="15"/>
      <c r="H603" s="98">
        <f>1110.066+100</f>
        <v>1210.066</v>
      </c>
      <c r="I603" s="98">
        <v>1160.066</v>
      </c>
      <c r="J603" s="99">
        <f t="shared" si="27"/>
        <v>95.86799397718802</v>
      </c>
    </row>
    <row r="604" spans="1:10" ht="47.25">
      <c r="A604" s="20" t="s">
        <v>113</v>
      </c>
      <c r="B604" s="21" t="s">
        <v>118</v>
      </c>
      <c r="C604" s="21" t="s">
        <v>26</v>
      </c>
      <c r="D604" s="21" t="s">
        <v>18</v>
      </c>
      <c r="E604" s="21" t="s">
        <v>585</v>
      </c>
      <c r="F604" s="21" t="s">
        <v>112</v>
      </c>
      <c r="G604" s="15"/>
      <c r="H604" s="98">
        <v>140</v>
      </c>
      <c r="I604" s="98">
        <v>140</v>
      </c>
      <c r="J604" s="99">
        <f t="shared" si="27"/>
        <v>100</v>
      </c>
    </row>
    <row r="605" spans="1:10" ht="15.75" hidden="1">
      <c r="A605" s="20" t="s">
        <v>126</v>
      </c>
      <c r="B605" s="21" t="s">
        <v>118</v>
      </c>
      <c r="C605" s="21" t="s">
        <v>26</v>
      </c>
      <c r="D605" s="21" t="s">
        <v>18</v>
      </c>
      <c r="E605" s="21" t="s">
        <v>585</v>
      </c>
      <c r="F605" s="21" t="s">
        <v>125</v>
      </c>
      <c r="G605" s="15"/>
      <c r="H605" s="98"/>
      <c r="I605" s="98"/>
      <c r="J605" s="99" t="e">
        <f t="shared" si="27"/>
        <v>#DIV/0!</v>
      </c>
    </row>
    <row r="606" spans="1:10" ht="31.5" hidden="1">
      <c r="A606" s="20" t="s">
        <v>586</v>
      </c>
      <c r="B606" s="21" t="s">
        <v>118</v>
      </c>
      <c r="C606" s="21" t="s">
        <v>26</v>
      </c>
      <c r="D606" s="21" t="s">
        <v>18</v>
      </c>
      <c r="E606" s="21" t="s">
        <v>587</v>
      </c>
      <c r="F606" s="21"/>
      <c r="G606" s="15"/>
      <c r="H606" s="98">
        <f>H607+H608</f>
        <v>0</v>
      </c>
      <c r="I606" s="98">
        <f>I607+I608</f>
        <v>0</v>
      </c>
      <c r="J606" s="99" t="e">
        <f t="shared" si="27"/>
        <v>#DIV/0!</v>
      </c>
    </row>
    <row r="607" spans="1:10" ht="15.75" hidden="1">
      <c r="A607" s="20" t="s">
        <v>116</v>
      </c>
      <c r="B607" s="21" t="s">
        <v>118</v>
      </c>
      <c r="C607" s="21" t="s">
        <v>26</v>
      </c>
      <c r="D607" s="21" t="s">
        <v>18</v>
      </c>
      <c r="E607" s="21" t="s">
        <v>587</v>
      </c>
      <c r="F607" s="21" t="s">
        <v>115</v>
      </c>
      <c r="G607" s="15"/>
      <c r="H607" s="98"/>
      <c r="I607" s="98"/>
      <c r="J607" s="99" t="e">
        <f t="shared" si="27"/>
        <v>#DIV/0!</v>
      </c>
    </row>
    <row r="608" spans="1:10" ht="15.75" hidden="1">
      <c r="A608" s="20" t="s">
        <v>126</v>
      </c>
      <c r="B608" s="21" t="s">
        <v>118</v>
      </c>
      <c r="C608" s="21" t="s">
        <v>26</v>
      </c>
      <c r="D608" s="21" t="s">
        <v>18</v>
      </c>
      <c r="E608" s="21" t="s">
        <v>587</v>
      </c>
      <c r="F608" s="21" t="s">
        <v>125</v>
      </c>
      <c r="G608" s="15"/>
      <c r="H608" s="98"/>
      <c r="I608" s="98"/>
      <c r="J608" s="99" t="e">
        <f t="shared" si="27"/>
        <v>#DIV/0!</v>
      </c>
    </row>
    <row r="609" spans="1:10" ht="15.75">
      <c r="A609" s="20" t="s">
        <v>588</v>
      </c>
      <c r="B609" s="21" t="s">
        <v>118</v>
      </c>
      <c r="C609" s="21" t="s">
        <v>26</v>
      </c>
      <c r="D609" s="21" t="s">
        <v>18</v>
      </c>
      <c r="E609" s="21" t="s">
        <v>589</v>
      </c>
      <c r="F609" s="21"/>
      <c r="G609" s="15"/>
      <c r="H609" s="98">
        <f>H610+H611+H612</f>
        <v>13862.685</v>
      </c>
      <c r="I609" s="98">
        <f>I610+I611+I612</f>
        <v>13862.68491</v>
      </c>
      <c r="J609" s="99">
        <f t="shared" si="27"/>
        <v>99.99999935077513</v>
      </c>
    </row>
    <row r="610" spans="1:10" ht="47.25">
      <c r="A610" s="20" t="s">
        <v>114</v>
      </c>
      <c r="B610" s="21" t="s">
        <v>118</v>
      </c>
      <c r="C610" s="21" t="s">
        <v>26</v>
      </c>
      <c r="D610" s="21" t="s">
        <v>18</v>
      </c>
      <c r="E610" s="21" t="s">
        <v>589</v>
      </c>
      <c r="F610" s="21" t="s">
        <v>101</v>
      </c>
      <c r="G610" s="15"/>
      <c r="H610" s="98">
        <v>12565.685</v>
      </c>
      <c r="I610" s="98">
        <v>12565.68491</v>
      </c>
      <c r="J610" s="99">
        <f t="shared" si="27"/>
        <v>99.99999928376369</v>
      </c>
    </row>
    <row r="611" spans="1:10" ht="15.75" hidden="1">
      <c r="A611" s="20" t="s">
        <v>116</v>
      </c>
      <c r="B611" s="21" t="s">
        <v>118</v>
      </c>
      <c r="C611" s="21" t="s">
        <v>26</v>
      </c>
      <c r="D611" s="21" t="s">
        <v>18</v>
      </c>
      <c r="E611" s="21" t="s">
        <v>589</v>
      </c>
      <c r="F611" s="21" t="s">
        <v>115</v>
      </c>
      <c r="G611" s="15"/>
      <c r="H611" s="98"/>
      <c r="I611" s="98"/>
      <c r="J611" s="99" t="e">
        <f t="shared" si="27"/>
        <v>#DIV/0!</v>
      </c>
    </row>
    <row r="612" spans="1:10" ht="47.25">
      <c r="A612" s="20" t="s">
        <v>113</v>
      </c>
      <c r="B612" s="21" t="s">
        <v>118</v>
      </c>
      <c r="C612" s="21" t="s">
        <v>26</v>
      </c>
      <c r="D612" s="21" t="s">
        <v>18</v>
      </c>
      <c r="E612" s="21" t="s">
        <v>589</v>
      </c>
      <c r="F612" s="21" t="s">
        <v>112</v>
      </c>
      <c r="G612" s="15"/>
      <c r="H612" s="98">
        <v>1297</v>
      </c>
      <c r="I612" s="98">
        <v>1297</v>
      </c>
      <c r="J612" s="99">
        <f t="shared" si="27"/>
        <v>100</v>
      </c>
    </row>
    <row r="613" spans="1:10" ht="31.5">
      <c r="A613" s="20" t="s">
        <v>590</v>
      </c>
      <c r="B613" s="21" t="s">
        <v>118</v>
      </c>
      <c r="C613" s="21" t="s">
        <v>26</v>
      </c>
      <c r="D613" s="21" t="s">
        <v>18</v>
      </c>
      <c r="E613" s="21" t="s">
        <v>591</v>
      </c>
      <c r="F613" s="21"/>
      <c r="G613" s="15"/>
      <c r="H613" s="98">
        <f>H614+H615+H616+H617</f>
        <v>14114.390790000001</v>
      </c>
      <c r="I613" s="98">
        <f>I614+I615+I616+I617</f>
        <v>13323.52311</v>
      </c>
      <c r="J613" s="99">
        <f t="shared" si="27"/>
        <v>94.39672819204972</v>
      </c>
    </row>
    <row r="614" spans="1:10" ht="47.25">
      <c r="A614" s="20" t="s">
        <v>114</v>
      </c>
      <c r="B614" s="21" t="s">
        <v>118</v>
      </c>
      <c r="C614" s="21" t="s">
        <v>26</v>
      </c>
      <c r="D614" s="21" t="s">
        <v>18</v>
      </c>
      <c r="E614" s="21" t="s">
        <v>591</v>
      </c>
      <c r="F614" s="21" t="s">
        <v>101</v>
      </c>
      <c r="G614" s="15"/>
      <c r="H614" s="98">
        <f>12407.67843+86+269.30436</f>
        <v>12762.98279</v>
      </c>
      <c r="I614" s="98">
        <v>12036.66931</v>
      </c>
      <c r="J614" s="99">
        <f t="shared" si="27"/>
        <v>94.30921837041825</v>
      </c>
    </row>
    <row r="615" spans="1:10" ht="15.75">
      <c r="A615" s="20" t="s">
        <v>116</v>
      </c>
      <c r="B615" s="21" t="s">
        <v>118</v>
      </c>
      <c r="C615" s="21" t="s">
        <v>26</v>
      </c>
      <c r="D615" s="21" t="s">
        <v>18</v>
      </c>
      <c r="E615" s="21" t="s">
        <v>591</v>
      </c>
      <c r="F615" s="21" t="s">
        <v>115</v>
      </c>
      <c r="G615" s="15"/>
      <c r="H615" s="98">
        <f>270.03+50</f>
        <v>320.03</v>
      </c>
      <c r="I615" s="98">
        <v>290.03</v>
      </c>
      <c r="J615" s="99">
        <f t="shared" si="27"/>
        <v>90.62587882386026</v>
      </c>
    </row>
    <row r="616" spans="1:10" ht="47.25">
      <c r="A616" s="20" t="s">
        <v>113</v>
      </c>
      <c r="B616" s="21" t="s">
        <v>118</v>
      </c>
      <c r="C616" s="21" t="s">
        <v>26</v>
      </c>
      <c r="D616" s="21" t="s">
        <v>18</v>
      </c>
      <c r="E616" s="21" t="s">
        <v>591</v>
      </c>
      <c r="F616" s="21" t="s">
        <v>112</v>
      </c>
      <c r="G616" s="15"/>
      <c r="H616" s="98">
        <v>1031.378</v>
      </c>
      <c r="I616" s="98">
        <v>996.8238</v>
      </c>
      <c r="J616" s="99">
        <f t="shared" si="27"/>
        <v>96.64970553957909</v>
      </c>
    </row>
    <row r="617" spans="1:10" ht="15.75">
      <c r="A617" s="20" t="s">
        <v>126</v>
      </c>
      <c r="B617" s="21" t="s">
        <v>118</v>
      </c>
      <c r="C617" s="21" t="s">
        <v>26</v>
      </c>
      <c r="D617" s="21" t="s">
        <v>18</v>
      </c>
      <c r="E617" s="21" t="s">
        <v>591</v>
      </c>
      <c r="F617" s="21" t="s">
        <v>125</v>
      </c>
      <c r="G617" s="15"/>
      <c r="H617" s="98"/>
      <c r="I617" s="98"/>
      <c r="J617" s="99" t="e">
        <f t="shared" si="27"/>
        <v>#DIV/0!</v>
      </c>
    </row>
    <row r="618" spans="1:10" ht="31.5">
      <c r="A618" s="20" t="s">
        <v>592</v>
      </c>
      <c r="B618" s="21" t="s">
        <v>118</v>
      </c>
      <c r="C618" s="21" t="s">
        <v>26</v>
      </c>
      <c r="D618" s="21" t="s">
        <v>18</v>
      </c>
      <c r="E618" s="21" t="s">
        <v>593</v>
      </c>
      <c r="F618" s="21"/>
      <c r="G618" s="15"/>
      <c r="H618" s="98">
        <f>H619</f>
        <v>5</v>
      </c>
      <c r="I618" s="98">
        <f>I619</f>
        <v>0</v>
      </c>
      <c r="J618" s="99">
        <f t="shared" si="27"/>
        <v>0</v>
      </c>
    </row>
    <row r="619" spans="1:10" ht="47.25">
      <c r="A619" s="20" t="s">
        <v>114</v>
      </c>
      <c r="B619" s="21" t="s">
        <v>118</v>
      </c>
      <c r="C619" s="21" t="s">
        <v>26</v>
      </c>
      <c r="D619" s="21" t="s">
        <v>18</v>
      </c>
      <c r="E619" s="21" t="s">
        <v>593</v>
      </c>
      <c r="F619" s="21" t="s">
        <v>101</v>
      </c>
      <c r="G619" s="15"/>
      <c r="H619" s="98">
        <v>5</v>
      </c>
      <c r="I619" s="98"/>
      <c r="J619" s="99">
        <f t="shared" si="27"/>
        <v>0</v>
      </c>
    </row>
    <row r="620" spans="1:10" ht="31.5">
      <c r="A620" s="20" t="s">
        <v>594</v>
      </c>
      <c r="B620" s="21" t="s">
        <v>118</v>
      </c>
      <c r="C620" s="21" t="s">
        <v>26</v>
      </c>
      <c r="D620" s="21" t="s">
        <v>18</v>
      </c>
      <c r="E620" s="21" t="s">
        <v>595</v>
      </c>
      <c r="F620" s="21"/>
      <c r="G620" s="15"/>
      <c r="H620" s="98">
        <f>H621+H622</f>
        <v>14.5</v>
      </c>
      <c r="I620" s="98">
        <f>I621+I622</f>
        <v>2.5</v>
      </c>
      <c r="J620" s="99">
        <f t="shared" si="27"/>
        <v>17.24137931034483</v>
      </c>
    </row>
    <row r="621" spans="1:10" ht="47.25">
      <c r="A621" s="20" t="s">
        <v>114</v>
      </c>
      <c r="B621" s="21" t="s">
        <v>118</v>
      </c>
      <c r="C621" s="21" t="s">
        <v>26</v>
      </c>
      <c r="D621" s="21" t="s">
        <v>18</v>
      </c>
      <c r="E621" s="21" t="s">
        <v>595</v>
      </c>
      <c r="F621" s="21" t="s">
        <v>101</v>
      </c>
      <c r="G621" s="15"/>
      <c r="H621" s="98">
        <v>2.5</v>
      </c>
      <c r="I621" s="98">
        <v>2.5</v>
      </c>
      <c r="J621" s="99">
        <f t="shared" si="27"/>
        <v>100</v>
      </c>
    </row>
    <row r="622" spans="1:10" ht="47.25">
      <c r="A622" s="20" t="s">
        <v>113</v>
      </c>
      <c r="B622" s="21" t="s">
        <v>118</v>
      </c>
      <c r="C622" s="21" t="s">
        <v>26</v>
      </c>
      <c r="D622" s="21" t="s">
        <v>18</v>
      </c>
      <c r="E622" s="21" t="s">
        <v>595</v>
      </c>
      <c r="F622" s="21" t="s">
        <v>112</v>
      </c>
      <c r="G622" s="15"/>
      <c r="H622" s="98">
        <v>12</v>
      </c>
      <c r="I622" s="98"/>
      <c r="J622" s="99">
        <f t="shared" si="27"/>
        <v>0</v>
      </c>
    </row>
    <row r="623" spans="1:10" ht="31.5">
      <c r="A623" s="20" t="s">
        <v>596</v>
      </c>
      <c r="B623" s="21" t="s">
        <v>118</v>
      </c>
      <c r="C623" s="21" t="s">
        <v>26</v>
      </c>
      <c r="D623" s="21" t="s">
        <v>18</v>
      </c>
      <c r="E623" s="21" t="s">
        <v>597</v>
      </c>
      <c r="F623" s="21"/>
      <c r="G623" s="15"/>
      <c r="H623" s="98">
        <f>H624+H626+H628+H630+H632+H634+H637+H639+H643+H646+H641</f>
        <v>36625.848829999995</v>
      </c>
      <c r="I623" s="98">
        <f>I624+I626+I628+I630+I632+I634+I637+I639+I643+I646+I641</f>
        <v>36325.68228999999</v>
      </c>
      <c r="J623" s="99">
        <f t="shared" si="27"/>
        <v>99.18045164934405</v>
      </c>
    </row>
    <row r="624" spans="1:10" ht="31.5">
      <c r="A624" s="20" t="s">
        <v>598</v>
      </c>
      <c r="B624" s="21" t="s">
        <v>118</v>
      </c>
      <c r="C624" s="21" t="s">
        <v>26</v>
      </c>
      <c r="D624" s="21" t="s">
        <v>18</v>
      </c>
      <c r="E624" s="21" t="s">
        <v>599</v>
      </c>
      <c r="F624" s="21"/>
      <c r="G624" s="15"/>
      <c r="H624" s="98">
        <f>H625</f>
        <v>29736.587</v>
      </c>
      <c r="I624" s="98">
        <f>I625</f>
        <v>29736.587</v>
      </c>
      <c r="J624" s="99">
        <f t="shared" si="27"/>
        <v>100</v>
      </c>
    </row>
    <row r="625" spans="1:10" ht="47.25">
      <c r="A625" s="20" t="s">
        <v>114</v>
      </c>
      <c r="B625" s="21" t="s">
        <v>118</v>
      </c>
      <c r="C625" s="21" t="s">
        <v>26</v>
      </c>
      <c r="D625" s="21" t="s">
        <v>18</v>
      </c>
      <c r="E625" s="21" t="s">
        <v>599</v>
      </c>
      <c r="F625" s="21" t="s">
        <v>101</v>
      </c>
      <c r="G625" s="15"/>
      <c r="H625" s="98">
        <v>29736.587</v>
      </c>
      <c r="I625" s="98">
        <v>29736.587</v>
      </c>
      <c r="J625" s="99">
        <f t="shared" si="27"/>
        <v>100</v>
      </c>
    </row>
    <row r="626" spans="1:10" ht="31.5">
      <c r="A626" s="20" t="s">
        <v>600</v>
      </c>
      <c r="B626" s="21" t="s">
        <v>118</v>
      </c>
      <c r="C626" s="21" t="s">
        <v>26</v>
      </c>
      <c r="D626" s="21" t="s">
        <v>18</v>
      </c>
      <c r="E626" s="21" t="s">
        <v>601</v>
      </c>
      <c r="F626" s="21"/>
      <c r="G626" s="15"/>
      <c r="H626" s="98">
        <f>H627</f>
        <v>172</v>
      </c>
      <c r="I626" s="98">
        <f>I627</f>
        <v>172</v>
      </c>
      <c r="J626" s="99">
        <f t="shared" si="27"/>
        <v>100</v>
      </c>
    </row>
    <row r="627" spans="1:10" ht="47.25">
      <c r="A627" s="20" t="s">
        <v>114</v>
      </c>
      <c r="B627" s="21" t="s">
        <v>118</v>
      </c>
      <c r="C627" s="21" t="s">
        <v>26</v>
      </c>
      <c r="D627" s="21" t="s">
        <v>18</v>
      </c>
      <c r="E627" s="21" t="s">
        <v>601</v>
      </c>
      <c r="F627" s="21" t="s">
        <v>101</v>
      </c>
      <c r="G627" s="15"/>
      <c r="H627" s="98">
        <v>172</v>
      </c>
      <c r="I627" s="98">
        <v>172</v>
      </c>
      <c r="J627" s="99">
        <f t="shared" si="27"/>
        <v>100</v>
      </c>
    </row>
    <row r="628" spans="1:10" ht="31.5">
      <c r="A628" s="20" t="s">
        <v>602</v>
      </c>
      <c r="B628" s="21" t="s">
        <v>118</v>
      </c>
      <c r="C628" s="21" t="s">
        <v>26</v>
      </c>
      <c r="D628" s="21" t="s">
        <v>18</v>
      </c>
      <c r="E628" s="21" t="s">
        <v>603</v>
      </c>
      <c r="F628" s="21"/>
      <c r="G628" s="15"/>
      <c r="H628" s="98">
        <f>H629</f>
        <v>1314.46893</v>
      </c>
      <c r="I628" s="98">
        <f>I629</f>
        <v>1313.46893</v>
      </c>
      <c r="J628" s="99">
        <f t="shared" si="27"/>
        <v>99.9239236487697</v>
      </c>
    </row>
    <row r="629" spans="1:10" ht="47.25">
      <c r="A629" s="20" t="s">
        <v>114</v>
      </c>
      <c r="B629" s="21" t="s">
        <v>118</v>
      </c>
      <c r="C629" s="21" t="s">
        <v>26</v>
      </c>
      <c r="D629" s="21" t="s">
        <v>18</v>
      </c>
      <c r="E629" s="21" t="s">
        <v>603</v>
      </c>
      <c r="F629" s="21" t="s">
        <v>101</v>
      </c>
      <c r="G629" s="15"/>
      <c r="H629" s="98">
        <f>1288.25+26.21893</f>
        <v>1314.46893</v>
      </c>
      <c r="I629" s="98">
        <v>1313.46893</v>
      </c>
      <c r="J629" s="99">
        <f t="shared" si="27"/>
        <v>99.9239236487697</v>
      </c>
    </row>
    <row r="630" spans="1:10" ht="31.5">
      <c r="A630" s="20" t="s">
        <v>604</v>
      </c>
      <c r="B630" s="21" t="s">
        <v>118</v>
      </c>
      <c r="C630" s="21" t="s">
        <v>26</v>
      </c>
      <c r="D630" s="21" t="s">
        <v>18</v>
      </c>
      <c r="E630" s="21" t="s">
        <v>605</v>
      </c>
      <c r="F630" s="21"/>
      <c r="G630" s="15"/>
      <c r="H630" s="98">
        <f>H631</f>
        <v>193</v>
      </c>
      <c r="I630" s="98">
        <f>I631</f>
        <v>94.626</v>
      </c>
      <c r="J630" s="99">
        <f t="shared" si="27"/>
        <v>49.02901554404146</v>
      </c>
    </row>
    <row r="631" spans="1:10" ht="15.75">
      <c r="A631" s="20" t="s">
        <v>116</v>
      </c>
      <c r="B631" s="21" t="s">
        <v>118</v>
      </c>
      <c r="C631" s="21" t="s">
        <v>26</v>
      </c>
      <c r="D631" s="21" t="s">
        <v>18</v>
      </c>
      <c r="E631" s="21" t="s">
        <v>605</v>
      </c>
      <c r="F631" s="21" t="s">
        <v>115</v>
      </c>
      <c r="G631" s="15"/>
      <c r="H631" s="98">
        <v>193</v>
      </c>
      <c r="I631" s="98">
        <v>94.626</v>
      </c>
      <c r="J631" s="99">
        <f t="shared" si="27"/>
        <v>49.02901554404146</v>
      </c>
    </row>
    <row r="632" spans="1:10" ht="47.25">
      <c r="A632" s="20" t="s">
        <v>606</v>
      </c>
      <c r="B632" s="21" t="s">
        <v>118</v>
      </c>
      <c r="C632" s="21" t="s">
        <v>26</v>
      </c>
      <c r="D632" s="21" t="s">
        <v>18</v>
      </c>
      <c r="E632" s="21" t="s">
        <v>607</v>
      </c>
      <c r="F632" s="21"/>
      <c r="G632" s="15"/>
      <c r="H632" s="98">
        <f>H633</f>
        <v>462.9729</v>
      </c>
      <c r="I632" s="98">
        <f>I633</f>
        <v>456.77232</v>
      </c>
      <c r="J632" s="99">
        <f t="shared" si="27"/>
        <v>98.66070346666079</v>
      </c>
    </row>
    <row r="633" spans="1:10" ht="47.25">
      <c r="A633" s="20" t="s">
        <v>114</v>
      </c>
      <c r="B633" s="21" t="s">
        <v>118</v>
      </c>
      <c r="C633" s="21" t="s">
        <v>26</v>
      </c>
      <c r="D633" s="21" t="s">
        <v>18</v>
      </c>
      <c r="E633" s="21" t="s">
        <v>607</v>
      </c>
      <c r="F633" s="21" t="s">
        <v>101</v>
      </c>
      <c r="G633" s="15"/>
      <c r="H633" s="98">
        <v>462.9729</v>
      </c>
      <c r="I633" s="98">
        <v>456.77232</v>
      </c>
      <c r="J633" s="99">
        <f t="shared" si="27"/>
        <v>98.66070346666079</v>
      </c>
    </row>
    <row r="634" spans="1:10" ht="31.5">
      <c r="A634" s="20" t="s">
        <v>608</v>
      </c>
      <c r="B634" s="21" t="s">
        <v>118</v>
      </c>
      <c r="C634" s="21" t="s">
        <v>26</v>
      </c>
      <c r="D634" s="21" t="s">
        <v>18</v>
      </c>
      <c r="E634" s="21" t="s">
        <v>609</v>
      </c>
      <c r="F634" s="21"/>
      <c r="G634" s="15"/>
      <c r="H634" s="98">
        <f>H635+H636</f>
        <v>1640.559</v>
      </c>
      <c r="I634" s="98">
        <f>I635+I636</f>
        <v>1640.559</v>
      </c>
      <c r="J634" s="99">
        <f t="shared" si="27"/>
        <v>100</v>
      </c>
    </row>
    <row r="635" spans="1:10" ht="47.25">
      <c r="A635" s="20" t="s">
        <v>114</v>
      </c>
      <c r="B635" s="21" t="s">
        <v>118</v>
      </c>
      <c r="C635" s="21" t="s">
        <v>26</v>
      </c>
      <c r="D635" s="21" t="s">
        <v>18</v>
      </c>
      <c r="E635" s="21" t="s">
        <v>609</v>
      </c>
      <c r="F635" s="21" t="s">
        <v>101</v>
      </c>
      <c r="G635" s="15"/>
      <c r="H635" s="98">
        <v>390.559</v>
      </c>
      <c r="I635" s="98">
        <v>390.559</v>
      </c>
      <c r="J635" s="99">
        <f t="shared" si="27"/>
        <v>100</v>
      </c>
    </row>
    <row r="636" spans="1:10" ht="15.75">
      <c r="A636" s="20" t="s">
        <v>116</v>
      </c>
      <c r="B636" s="21" t="s">
        <v>118</v>
      </c>
      <c r="C636" s="21" t="s">
        <v>26</v>
      </c>
      <c r="D636" s="21" t="s">
        <v>18</v>
      </c>
      <c r="E636" s="21" t="s">
        <v>609</v>
      </c>
      <c r="F636" s="21" t="s">
        <v>115</v>
      </c>
      <c r="G636" s="15"/>
      <c r="H636" s="98">
        <v>1250</v>
      </c>
      <c r="I636" s="98">
        <v>1250</v>
      </c>
      <c r="J636" s="99">
        <f t="shared" si="27"/>
        <v>100</v>
      </c>
    </row>
    <row r="637" spans="1:10" ht="31.5">
      <c r="A637" s="20" t="s">
        <v>610</v>
      </c>
      <c r="B637" s="21" t="s">
        <v>118</v>
      </c>
      <c r="C637" s="21" t="s">
        <v>26</v>
      </c>
      <c r="D637" s="21" t="s">
        <v>18</v>
      </c>
      <c r="E637" s="21" t="s">
        <v>611</v>
      </c>
      <c r="F637" s="21"/>
      <c r="G637" s="15"/>
      <c r="H637" s="98">
        <f>H638</f>
        <v>140</v>
      </c>
      <c r="I637" s="98">
        <f>I638</f>
        <v>124.92</v>
      </c>
      <c r="J637" s="99">
        <f t="shared" si="27"/>
        <v>89.22857142857143</v>
      </c>
    </row>
    <row r="638" spans="1:10" ht="15.75">
      <c r="A638" s="20" t="s">
        <v>116</v>
      </c>
      <c r="B638" s="21" t="s">
        <v>118</v>
      </c>
      <c r="C638" s="21" t="s">
        <v>26</v>
      </c>
      <c r="D638" s="21" t="s">
        <v>18</v>
      </c>
      <c r="E638" s="21" t="s">
        <v>611</v>
      </c>
      <c r="F638" s="21" t="s">
        <v>115</v>
      </c>
      <c r="G638" s="15"/>
      <c r="H638" s="98">
        <v>140</v>
      </c>
      <c r="I638" s="98">
        <v>124.92</v>
      </c>
      <c r="J638" s="99">
        <f t="shared" si="27"/>
        <v>89.22857142857143</v>
      </c>
    </row>
    <row r="639" spans="1:10" ht="31.5" hidden="1">
      <c r="A639" s="20" t="s">
        <v>612</v>
      </c>
      <c r="B639" s="21" t="s">
        <v>118</v>
      </c>
      <c r="C639" s="21" t="s">
        <v>26</v>
      </c>
      <c r="D639" s="21" t="s">
        <v>18</v>
      </c>
      <c r="E639" s="21" t="s">
        <v>613</v>
      </c>
      <c r="F639" s="21"/>
      <c r="G639" s="15"/>
      <c r="H639" s="98">
        <f>H640</f>
        <v>0</v>
      </c>
      <c r="I639" s="98">
        <f>I640</f>
        <v>0</v>
      </c>
      <c r="J639" s="99" t="e">
        <f t="shared" si="27"/>
        <v>#DIV/0!</v>
      </c>
    </row>
    <row r="640" spans="1:10" ht="15.75" hidden="1">
      <c r="A640" s="20" t="s">
        <v>116</v>
      </c>
      <c r="B640" s="21" t="s">
        <v>118</v>
      </c>
      <c r="C640" s="21" t="s">
        <v>26</v>
      </c>
      <c r="D640" s="21" t="s">
        <v>18</v>
      </c>
      <c r="E640" s="21" t="s">
        <v>613</v>
      </c>
      <c r="F640" s="21" t="s">
        <v>115</v>
      </c>
      <c r="G640" s="15"/>
      <c r="H640" s="98"/>
      <c r="I640" s="98"/>
      <c r="J640" s="99" t="e">
        <f t="shared" si="27"/>
        <v>#DIV/0!</v>
      </c>
    </row>
    <row r="641" spans="1:10" ht="31.5">
      <c r="A641" s="20" t="s">
        <v>614</v>
      </c>
      <c r="B641" s="21" t="s">
        <v>118</v>
      </c>
      <c r="C641" s="21" t="s">
        <v>26</v>
      </c>
      <c r="D641" s="21" t="s">
        <v>18</v>
      </c>
      <c r="E641" s="21" t="s">
        <v>615</v>
      </c>
      <c r="F641" s="21"/>
      <c r="G641" s="15"/>
      <c r="H641" s="98">
        <f>H642</f>
        <v>678.575</v>
      </c>
      <c r="I641" s="98">
        <f>I642</f>
        <v>678.575</v>
      </c>
      <c r="J641" s="99">
        <f t="shared" si="27"/>
        <v>100</v>
      </c>
    </row>
    <row r="642" spans="1:10" ht="47.25">
      <c r="A642" s="20" t="s">
        <v>114</v>
      </c>
      <c r="B642" s="21" t="s">
        <v>118</v>
      </c>
      <c r="C642" s="21" t="s">
        <v>26</v>
      </c>
      <c r="D642" s="21" t="s">
        <v>18</v>
      </c>
      <c r="E642" s="21" t="s">
        <v>615</v>
      </c>
      <c r="F642" s="21" t="s">
        <v>101</v>
      </c>
      <c r="G642" s="15"/>
      <c r="H642" s="98">
        <v>678.575</v>
      </c>
      <c r="I642" s="98">
        <v>678.575</v>
      </c>
      <c r="J642" s="99">
        <f t="shared" si="27"/>
        <v>100</v>
      </c>
    </row>
    <row r="643" spans="1:10" ht="31.5">
      <c r="A643" s="20" t="s">
        <v>616</v>
      </c>
      <c r="B643" s="21" t="s">
        <v>118</v>
      </c>
      <c r="C643" s="21" t="s">
        <v>26</v>
      </c>
      <c r="D643" s="21" t="s">
        <v>18</v>
      </c>
      <c r="E643" s="21" t="s">
        <v>617</v>
      </c>
      <c r="F643" s="21"/>
      <c r="G643" s="15"/>
      <c r="H643" s="98">
        <f>H644+H645</f>
        <v>2275.686</v>
      </c>
      <c r="I643" s="98">
        <f>I644+I645</f>
        <v>2108.17404</v>
      </c>
      <c r="J643" s="99">
        <f t="shared" si="27"/>
        <v>92.63905653064613</v>
      </c>
    </row>
    <row r="644" spans="1:10" ht="47.25">
      <c r="A644" s="20" t="s">
        <v>114</v>
      </c>
      <c r="B644" s="21" t="s">
        <v>118</v>
      </c>
      <c r="C644" s="21" t="s">
        <v>26</v>
      </c>
      <c r="D644" s="21" t="s">
        <v>18</v>
      </c>
      <c r="E644" s="21" t="s">
        <v>617</v>
      </c>
      <c r="F644" s="21" t="s">
        <v>101</v>
      </c>
      <c r="G644" s="15"/>
      <c r="H644" s="98">
        <f>2119.938+60.108</f>
        <v>2180.0460000000003</v>
      </c>
      <c r="I644" s="98">
        <v>2012.53404</v>
      </c>
      <c r="J644" s="99">
        <f t="shared" si="27"/>
        <v>92.3161272743786</v>
      </c>
    </row>
    <row r="645" spans="1:10" ht="15.75">
      <c r="A645" s="20" t="s">
        <v>116</v>
      </c>
      <c r="B645" s="21" t="s">
        <v>118</v>
      </c>
      <c r="C645" s="21" t="s">
        <v>26</v>
      </c>
      <c r="D645" s="21" t="s">
        <v>18</v>
      </c>
      <c r="E645" s="21" t="s">
        <v>617</v>
      </c>
      <c r="F645" s="21" t="s">
        <v>115</v>
      </c>
      <c r="G645" s="15"/>
      <c r="H645" s="98">
        <f>45.64+50</f>
        <v>95.64</v>
      </c>
      <c r="I645" s="98">
        <f>45.64+50</f>
        <v>95.64</v>
      </c>
      <c r="J645" s="99">
        <f t="shared" si="27"/>
        <v>100</v>
      </c>
    </row>
    <row r="646" spans="1:10" ht="31.5">
      <c r="A646" s="20" t="s">
        <v>618</v>
      </c>
      <c r="B646" s="21" t="s">
        <v>118</v>
      </c>
      <c r="C646" s="21" t="s">
        <v>26</v>
      </c>
      <c r="D646" s="21" t="s">
        <v>18</v>
      </c>
      <c r="E646" s="21" t="s">
        <v>619</v>
      </c>
      <c r="F646" s="21"/>
      <c r="G646" s="15"/>
      <c r="H646" s="98">
        <f>H647</f>
        <v>12</v>
      </c>
      <c r="I646" s="98">
        <f>I647</f>
        <v>0</v>
      </c>
      <c r="J646" s="99">
        <f t="shared" si="27"/>
        <v>0</v>
      </c>
    </row>
    <row r="647" spans="1:10" ht="47.25">
      <c r="A647" s="20" t="s">
        <v>114</v>
      </c>
      <c r="B647" s="21" t="s">
        <v>118</v>
      </c>
      <c r="C647" s="21" t="s">
        <v>26</v>
      </c>
      <c r="D647" s="21" t="s">
        <v>18</v>
      </c>
      <c r="E647" s="21" t="s">
        <v>619</v>
      </c>
      <c r="F647" s="21" t="s">
        <v>101</v>
      </c>
      <c r="G647" s="15"/>
      <c r="H647" s="98">
        <v>12</v>
      </c>
      <c r="I647" s="98"/>
      <c r="J647" s="99">
        <f t="shared" si="27"/>
        <v>0</v>
      </c>
    </row>
    <row r="648" spans="1:10" ht="31.5">
      <c r="A648" s="54" t="s">
        <v>568</v>
      </c>
      <c r="B648" s="21" t="s">
        <v>118</v>
      </c>
      <c r="C648" s="21" t="s">
        <v>26</v>
      </c>
      <c r="D648" s="21" t="s">
        <v>18</v>
      </c>
      <c r="E648" s="21" t="s">
        <v>569</v>
      </c>
      <c r="F648" s="21"/>
      <c r="G648" s="15"/>
      <c r="H648" s="99">
        <f>H649+H652+H655+H658</f>
        <v>338563.811</v>
      </c>
      <c r="I648" s="99">
        <f>I649+I652+I655+I658</f>
        <v>338563.811</v>
      </c>
      <c r="J648" s="99">
        <f t="shared" si="27"/>
        <v>100</v>
      </c>
    </row>
    <row r="649" spans="1:10" ht="47.25">
      <c r="A649" s="54" t="s">
        <v>620</v>
      </c>
      <c r="B649" s="21" t="s">
        <v>118</v>
      </c>
      <c r="C649" s="21" t="s">
        <v>26</v>
      </c>
      <c r="D649" s="21" t="s">
        <v>18</v>
      </c>
      <c r="E649" s="21" t="s">
        <v>621</v>
      </c>
      <c r="F649" s="21"/>
      <c r="G649" s="15"/>
      <c r="H649" s="99">
        <f>H650+H651</f>
        <v>300</v>
      </c>
      <c r="I649" s="99">
        <f>I650+I651</f>
        <v>300</v>
      </c>
      <c r="J649" s="99">
        <f t="shared" si="27"/>
        <v>100</v>
      </c>
    </row>
    <row r="650" spans="1:10" s="9" customFormat="1" ht="15.75">
      <c r="A650" s="20" t="s">
        <v>116</v>
      </c>
      <c r="B650" s="21" t="s">
        <v>118</v>
      </c>
      <c r="C650" s="21" t="s">
        <v>26</v>
      </c>
      <c r="D650" s="21" t="s">
        <v>18</v>
      </c>
      <c r="E650" s="21" t="s">
        <v>621</v>
      </c>
      <c r="F650" s="21" t="s">
        <v>115</v>
      </c>
      <c r="G650" s="15"/>
      <c r="H650" s="99">
        <v>300</v>
      </c>
      <c r="I650" s="99">
        <v>300</v>
      </c>
      <c r="J650" s="99">
        <f t="shared" si="27"/>
        <v>100</v>
      </c>
    </row>
    <row r="651" spans="1:10" s="9" customFormat="1" ht="15.75" hidden="1">
      <c r="A651" s="20" t="s">
        <v>126</v>
      </c>
      <c r="B651" s="21" t="s">
        <v>118</v>
      </c>
      <c r="C651" s="21" t="s">
        <v>26</v>
      </c>
      <c r="D651" s="21" t="s">
        <v>18</v>
      </c>
      <c r="E651" s="21" t="s">
        <v>621</v>
      </c>
      <c r="F651" s="21" t="s">
        <v>125</v>
      </c>
      <c r="G651" s="15"/>
      <c r="H651" s="99"/>
      <c r="I651" s="99"/>
      <c r="J651" s="99" t="e">
        <f t="shared" si="27"/>
        <v>#DIV/0!</v>
      </c>
    </row>
    <row r="652" spans="1:10" ht="110.25">
      <c r="A652" s="54" t="s">
        <v>570</v>
      </c>
      <c r="B652" s="21" t="s">
        <v>118</v>
      </c>
      <c r="C652" s="21" t="s">
        <v>26</v>
      </c>
      <c r="D652" s="21" t="s">
        <v>18</v>
      </c>
      <c r="E652" s="21" t="s">
        <v>571</v>
      </c>
      <c r="F652" s="21"/>
      <c r="G652" s="15"/>
      <c r="H652" s="99">
        <f>H653+H654</f>
        <v>328241.66</v>
      </c>
      <c r="I652" s="99">
        <f>I653+I654</f>
        <v>328241.66</v>
      </c>
      <c r="J652" s="99">
        <f t="shared" si="27"/>
        <v>100</v>
      </c>
    </row>
    <row r="653" spans="1:10" ht="47.25">
      <c r="A653" s="20" t="s">
        <v>114</v>
      </c>
      <c r="B653" s="21" t="s">
        <v>118</v>
      </c>
      <c r="C653" s="21" t="s">
        <v>26</v>
      </c>
      <c r="D653" s="21" t="s">
        <v>18</v>
      </c>
      <c r="E653" s="21" t="s">
        <v>571</v>
      </c>
      <c r="F653" s="21" t="s">
        <v>101</v>
      </c>
      <c r="G653" s="15"/>
      <c r="H653" s="99">
        <f>290475.0028+204.78912</f>
        <v>290679.79192</v>
      </c>
      <c r="I653" s="99">
        <f>290475.0028+204.78912</f>
        <v>290679.79192</v>
      </c>
      <c r="J653" s="99">
        <f t="shared" si="27"/>
        <v>100</v>
      </c>
    </row>
    <row r="654" spans="1:10" ht="47.25">
      <c r="A654" s="20" t="s">
        <v>113</v>
      </c>
      <c r="B654" s="21" t="s">
        <v>118</v>
      </c>
      <c r="C654" s="21" t="s">
        <v>26</v>
      </c>
      <c r="D654" s="21" t="s">
        <v>18</v>
      </c>
      <c r="E654" s="21" t="s">
        <v>571</v>
      </c>
      <c r="F654" s="21" t="s">
        <v>112</v>
      </c>
      <c r="G654" s="15"/>
      <c r="H654" s="99">
        <f>37162.6572+399.21088</f>
        <v>37561.86808</v>
      </c>
      <c r="I654" s="99">
        <f>37162.6572+399.21088</f>
        <v>37561.86808</v>
      </c>
      <c r="J654" s="99">
        <f t="shared" si="27"/>
        <v>100</v>
      </c>
    </row>
    <row r="655" spans="1:10" ht="15.75">
      <c r="A655" s="54" t="s">
        <v>622</v>
      </c>
      <c r="B655" s="21" t="s">
        <v>118</v>
      </c>
      <c r="C655" s="21" t="s">
        <v>26</v>
      </c>
      <c r="D655" s="21" t="s">
        <v>18</v>
      </c>
      <c r="E655" s="21" t="s">
        <v>623</v>
      </c>
      <c r="F655" s="21"/>
      <c r="G655" s="15"/>
      <c r="H655" s="99">
        <f>H656+H657</f>
        <v>4295</v>
      </c>
      <c r="I655" s="99">
        <f>I656+I657</f>
        <v>4295</v>
      </c>
      <c r="J655" s="99">
        <f t="shared" si="27"/>
        <v>100</v>
      </c>
    </row>
    <row r="656" spans="1:10" ht="47.25">
      <c r="A656" s="20" t="s">
        <v>114</v>
      </c>
      <c r="B656" s="21" t="s">
        <v>118</v>
      </c>
      <c r="C656" s="21" t="s">
        <v>26</v>
      </c>
      <c r="D656" s="21" t="s">
        <v>18</v>
      </c>
      <c r="E656" s="21" t="s">
        <v>623</v>
      </c>
      <c r="F656" s="21" t="s">
        <v>101</v>
      </c>
      <c r="G656" s="15"/>
      <c r="H656" s="99">
        <f>3901+9</f>
        <v>3910</v>
      </c>
      <c r="I656" s="99">
        <f>3901+9</f>
        <v>3910</v>
      </c>
      <c r="J656" s="99">
        <f t="shared" si="27"/>
        <v>100</v>
      </c>
    </row>
    <row r="657" spans="1:10" ht="47.25">
      <c r="A657" s="20" t="s">
        <v>113</v>
      </c>
      <c r="B657" s="21" t="s">
        <v>118</v>
      </c>
      <c r="C657" s="21" t="s">
        <v>26</v>
      </c>
      <c r="D657" s="21" t="s">
        <v>18</v>
      </c>
      <c r="E657" s="21" t="s">
        <v>623</v>
      </c>
      <c r="F657" s="21" t="s">
        <v>112</v>
      </c>
      <c r="G657" s="15"/>
      <c r="H657" s="99">
        <v>385</v>
      </c>
      <c r="I657" s="99">
        <v>385</v>
      </c>
      <c r="J657" s="99">
        <f t="shared" si="27"/>
        <v>100</v>
      </c>
    </row>
    <row r="658" spans="1:10" ht="31.5">
      <c r="A658" s="54" t="s">
        <v>572</v>
      </c>
      <c r="B658" s="21" t="s">
        <v>118</v>
      </c>
      <c r="C658" s="21" t="s">
        <v>26</v>
      </c>
      <c r="D658" s="21" t="s">
        <v>18</v>
      </c>
      <c r="E658" s="21" t="s">
        <v>573</v>
      </c>
      <c r="F658" s="21"/>
      <c r="G658" s="15"/>
      <c r="H658" s="99">
        <f>H659+H660</f>
        <v>5727.151</v>
      </c>
      <c r="I658" s="99">
        <f>I659+I660</f>
        <v>5727.151</v>
      </c>
      <c r="J658" s="99">
        <f t="shared" si="27"/>
        <v>100</v>
      </c>
    </row>
    <row r="659" spans="1:10" ht="47.25">
      <c r="A659" s="20" t="s">
        <v>114</v>
      </c>
      <c r="B659" s="21" t="s">
        <v>118</v>
      </c>
      <c r="C659" s="21" t="s">
        <v>26</v>
      </c>
      <c r="D659" s="21" t="s">
        <v>18</v>
      </c>
      <c r="E659" s="21" t="s">
        <v>573</v>
      </c>
      <c r="F659" s="21" t="s">
        <v>101</v>
      </c>
      <c r="G659" s="15"/>
      <c r="H659" s="99">
        <f>5182.863+26</f>
        <v>5208.863</v>
      </c>
      <c r="I659" s="99">
        <f>5182.863+26</f>
        <v>5208.863</v>
      </c>
      <c r="J659" s="99">
        <f t="shared" si="27"/>
        <v>100</v>
      </c>
    </row>
    <row r="660" spans="1:10" ht="47.25">
      <c r="A660" s="20" t="s">
        <v>113</v>
      </c>
      <c r="B660" s="21" t="s">
        <v>118</v>
      </c>
      <c r="C660" s="21" t="s">
        <v>26</v>
      </c>
      <c r="D660" s="21" t="s">
        <v>18</v>
      </c>
      <c r="E660" s="21" t="s">
        <v>573</v>
      </c>
      <c r="F660" s="21" t="s">
        <v>112</v>
      </c>
      <c r="G660" s="15"/>
      <c r="H660" s="99">
        <f>517.288+1</f>
        <v>518.288</v>
      </c>
      <c r="I660" s="99">
        <f>517.288+1</f>
        <v>518.288</v>
      </c>
      <c r="J660" s="99">
        <f t="shared" si="27"/>
        <v>100</v>
      </c>
    </row>
    <row r="661" spans="1:10" ht="15.75">
      <c r="A661" s="20" t="s">
        <v>29</v>
      </c>
      <c r="B661" s="21" t="s">
        <v>118</v>
      </c>
      <c r="C661" s="21" t="s">
        <v>26</v>
      </c>
      <c r="D661" s="21" t="s">
        <v>26</v>
      </c>
      <c r="E661" s="21"/>
      <c r="F661" s="21"/>
      <c r="G661" s="15" t="e">
        <f>#REF!+#REF!+#REF!</f>
        <v>#REF!</v>
      </c>
      <c r="H661" s="99">
        <f>H668+H662</f>
        <v>11908.830249999999</v>
      </c>
      <c r="I661" s="99">
        <f>I668+I662</f>
        <v>11875.3711</v>
      </c>
      <c r="J661" s="99">
        <f t="shared" si="27"/>
        <v>99.71903915583985</v>
      </c>
    </row>
    <row r="662" spans="1:10" ht="15.75">
      <c r="A662" s="54" t="s">
        <v>624</v>
      </c>
      <c r="B662" s="21" t="s">
        <v>118</v>
      </c>
      <c r="C662" s="21" t="s">
        <v>26</v>
      </c>
      <c r="D662" s="21" t="s">
        <v>26</v>
      </c>
      <c r="E662" s="21" t="s">
        <v>625</v>
      </c>
      <c r="F662" s="21"/>
      <c r="G662" s="15"/>
      <c r="H662" s="99">
        <f>H663</f>
        <v>7150.03325</v>
      </c>
      <c r="I662" s="99">
        <f>I663</f>
        <v>7150.03325</v>
      </c>
      <c r="J662" s="99">
        <f t="shared" si="27"/>
        <v>100</v>
      </c>
    </row>
    <row r="663" spans="1:10" ht="31.5">
      <c r="A663" s="53" t="s">
        <v>626</v>
      </c>
      <c r="B663" s="21" t="s">
        <v>118</v>
      </c>
      <c r="C663" s="21" t="s">
        <v>26</v>
      </c>
      <c r="D663" s="21" t="s">
        <v>26</v>
      </c>
      <c r="E663" s="21" t="s">
        <v>627</v>
      </c>
      <c r="F663" s="21"/>
      <c r="G663" s="15"/>
      <c r="H663" s="99">
        <f>H664+H666+H667+H665</f>
        <v>7150.03325</v>
      </c>
      <c r="I663" s="99">
        <f>I664+I666+I667+I665</f>
        <v>7150.03325</v>
      </c>
      <c r="J663" s="99">
        <f t="shared" si="27"/>
        <v>100</v>
      </c>
    </row>
    <row r="664" spans="1:10" ht="31.5">
      <c r="A664" s="20" t="s">
        <v>628</v>
      </c>
      <c r="B664" s="21" t="s">
        <v>118</v>
      </c>
      <c r="C664" s="21" t="s">
        <v>26</v>
      </c>
      <c r="D664" s="21" t="s">
        <v>26</v>
      </c>
      <c r="E664" s="21" t="s">
        <v>627</v>
      </c>
      <c r="F664" s="21" t="s">
        <v>104</v>
      </c>
      <c r="G664" s="15"/>
      <c r="H664" s="99">
        <f>1610.677-2.96675</f>
        <v>1607.7102499999999</v>
      </c>
      <c r="I664" s="99">
        <f>1610.677-2.96675</f>
        <v>1607.7102499999999</v>
      </c>
      <c r="J664" s="99">
        <f t="shared" si="27"/>
        <v>100</v>
      </c>
    </row>
    <row r="665" spans="1:10" ht="15.75">
      <c r="A665" s="20" t="s">
        <v>436</v>
      </c>
      <c r="B665" s="21" t="s">
        <v>118</v>
      </c>
      <c r="C665" s="21" t="s">
        <v>26</v>
      </c>
      <c r="D665" s="21" t="s">
        <v>26</v>
      </c>
      <c r="E665" s="21" t="s">
        <v>627</v>
      </c>
      <c r="F665" s="21" t="s">
        <v>437</v>
      </c>
      <c r="G665" s="15"/>
      <c r="H665" s="99">
        <v>1097.56</v>
      </c>
      <c r="I665" s="99">
        <v>1097.56</v>
      </c>
      <c r="J665" s="99">
        <f aca="true" t="shared" si="28" ref="J665:J728">I665/H665*100</f>
        <v>100</v>
      </c>
    </row>
    <row r="666" spans="1:10" ht="15.75">
      <c r="A666" s="20" t="s">
        <v>116</v>
      </c>
      <c r="B666" s="21" t="s">
        <v>118</v>
      </c>
      <c r="C666" s="21" t="s">
        <v>26</v>
      </c>
      <c r="D666" s="21" t="s">
        <v>26</v>
      </c>
      <c r="E666" s="21" t="s">
        <v>627</v>
      </c>
      <c r="F666" s="21" t="s">
        <v>115</v>
      </c>
      <c r="G666" s="15"/>
      <c r="H666" s="99">
        <v>4181.453</v>
      </c>
      <c r="I666" s="99">
        <v>4181.453</v>
      </c>
      <c r="J666" s="99">
        <f t="shared" si="28"/>
        <v>100</v>
      </c>
    </row>
    <row r="667" spans="1:10" ht="15.75">
      <c r="A667" s="20" t="s">
        <v>126</v>
      </c>
      <c r="B667" s="21" t="s">
        <v>118</v>
      </c>
      <c r="C667" s="21" t="s">
        <v>26</v>
      </c>
      <c r="D667" s="21" t="s">
        <v>26</v>
      </c>
      <c r="E667" s="21" t="s">
        <v>627</v>
      </c>
      <c r="F667" s="21" t="s">
        <v>125</v>
      </c>
      <c r="G667" s="15"/>
      <c r="H667" s="99">
        <v>263.31</v>
      </c>
      <c r="I667" s="99">
        <v>263.31</v>
      </c>
      <c r="J667" s="99">
        <f t="shared" si="28"/>
        <v>100</v>
      </c>
    </row>
    <row r="668" spans="1:10" ht="47.25">
      <c r="A668" s="20" t="s">
        <v>540</v>
      </c>
      <c r="B668" s="21" t="s">
        <v>118</v>
      </c>
      <c r="C668" s="21" t="s">
        <v>26</v>
      </c>
      <c r="D668" s="21" t="s">
        <v>26</v>
      </c>
      <c r="E668" s="21" t="s">
        <v>541</v>
      </c>
      <c r="F668" s="21"/>
      <c r="G668" s="15" t="e">
        <f>#REF!+#REF!+#REF!</f>
        <v>#REF!</v>
      </c>
      <c r="H668" s="98">
        <f>H669</f>
        <v>4758.797</v>
      </c>
      <c r="I668" s="98">
        <f>I669</f>
        <v>4725.33785</v>
      </c>
      <c r="J668" s="99">
        <f t="shared" si="28"/>
        <v>99.29689898518471</v>
      </c>
    </row>
    <row r="669" spans="1:10" ht="31.5">
      <c r="A669" s="20" t="s">
        <v>596</v>
      </c>
      <c r="B669" s="21" t="s">
        <v>118</v>
      </c>
      <c r="C669" s="21" t="s">
        <v>26</v>
      </c>
      <c r="D669" s="21" t="s">
        <v>26</v>
      </c>
      <c r="E669" s="21" t="s">
        <v>597</v>
      </c>
      <c r="F669" s="21"/>
      <c r="G669" s="15"/>
      <c r="H669" s="98">
        <f>H670</f>
        <v>4758.797</v>
      </c>
      <c r="I669" s="98">
        <f>I670</f>
        <v>4725.33785</v>
      </c>
      <c r="J669" s="99">
        <f t="shared" si="28"/>
        <v>99.29689898518471</v>
      </c>
    </row>
    <row r="670" spans="1:10" ht="47.25">
      <c r="A670" s="20" t="s">
        <v>629</v>
      </c>
      <c r="B670" s="21" t="s">
        <v>118</v>
      </c>
      <c r="C670" s="21" t="s">
        <v>26</v>
      </c>
      <c r="D670" s="21" t="s">
        <v>26</v>
      </c>
      <c r="E670" s="21" t="s">
        <v>630</v>
      </c>
      <c r="F670" s="21"/>
      <c r="G670" s="15"/>
      <c r="H670" s="98">
        <f>H671+H673+H675+H677+H679+H681+H683+H685</f>
        <v>4758.797</v>
      </c>
      <c r="I670" s="98">
        <f>I671+I673+I675+I677+I679+I681+I683+I685</f>
        <v>4725.33785</v>
      </c>
      <c r="J670" s="99">
        <f t="shared" si="28"/>
        <v>99.29689898518471</v>
      </c>
    </row>
    <row r="671" spans="1:10" ht="63">
      <c r="A671" s="20" t="s">
        <v>631</v>
      </c>
      <c r="B671" s="21" t="s">
        <v>118</v>
      </c>
      <c r="C671" s="21" t="s">
        <v>26</v>
      </c>
      <c r="D671" s="21" t="s">
        <v>26</v>
      </c>
      <c r="E671" s="21" t="s">
        <v>632</v>
      </c>
      <c r="F671" s="21"/>
      <c r="G671" s="15"/>
      <c r="H671" s="98">
        <f>H672</f>
        <v>3347.264</v>
      </c>
      <c r="I671" s="98">
        <f>I672</f>
        <v>3347.264</v>
      </c>
      <c r="J671" s="99">
        <f t="shared" si="28"/>
        <v>100</v>
      </c>
    </row>
    <row r="672" spans="1:10" ht="47.25">
      <c r="A672" s="20" t="s">
        <v>114</v>
      </c>
      <c r="B672" s="21" t="s">
        <v>118</v>
      </c>
      <c r="C672" s="21" t="s">
        <v>26</v>
      </c>
      <c r="D672" s="21" t="s">
        <v>26</v>
      </c>
      <c r="E672" s="21" t="s">
        <v>632</v>
      </c>
      <c r="F672" s="21" t="s">
        <v>101</v>
      </c>
      <c r="G672" s="15"/>
      <c r="H672" s="98">
        <v>3347.264</v>
      </c>
      <c r="I672" s="98">
        <v>3347.264</v>
      </c>
      <c r="J672" s="99">
        <f t="shared" si="28"/>
        <v>100</v>
      </c>
    </row>
    <row r="673" spans="1:10" ht="47.25">
      <c r="A673" s="20" t="s">
        <v>633</v>
      </c>
      <c r="B673" s="21" t="s">
        <v>118</v>
      </c>
      <c r="C673" s="21" t="s">
        <v>26</v>
      </c>
      <c r="D673" s="21" t="s">
        <v>26</v>
      </c>
      <c r="E673" s="21" t="s">
        <v>634</v>
      </c>
      <c r="F673" s="21"/>
      <c r="G673" s="15"/>
      <c r="H673" s="98">
        <f>H674</f>
        <v>629.63</v>
      </c>
      <c r="I673" s="98">
        <f>I674</f>
        <v>622.77821</v>
      </c>
      <c r="J673" s="99">
        <f t="shared" si="28"/>
        <v>98.91177516954401</v>
      </c>
    </row>
    <row r="674" spans="1:10" ht="47.25">
      <c r="A674" s="20" t="s">
        <v>114</v>
      </c>
      <c r="B674" s="21" t="s">
        <v>118</v>
      </c>
      <c r="C674" s="21" t="s">
        <v>26</v>
      </c>
      <c r="D674" s="21" t="s">
        <v>26</v>
      </c>
      <c r="E674" s="21" t="s">
        <v>634</v>
      </c>
      <c r="F674" s="21" t="s">
        <v>101</v>
      </c>
      <c r="G674" s="15"/>
      <c r="H674" s="98">
        <f>577.1+52.53</f>
        <v>629.63</v>
      </c>
      <c r="I674" s="98">
        <v>622.77821</v>
      </c>
      <c r="J674" s="99">
        <f t="shared" si="28"/>
        <v>98.91177516954401</v>
      </c>
    </row>
    <row r="675" spans="1:10" ht="63">
      <c r="A675" s="20" t="s">
        <v>635</v>
      </c>
      <c r="B675" s="21" t="s">
        <v>118</v>
      </c>
      <c r="C675" s="21" t="s">
        <v>26</v>
      </c>
      <c r="D675" s="21" t="s">
        <v>26</v>
      </c>
      <c r="E675" s="21" t="s">
        <v>636</v>
      </c>
      <c r="F675" s="21"/>
      <c r="G675" s="15"/>
      <c r="H675" s="98">
        <f>H676</f>
        <v>34</v>
      </c>
      <c r="I675" s="98">
        <f>I676</f>
        <v>18.485</v>
      </c>
      <c r="J675" s="99">
        <f t="shared" si="28"/>
        <v>54.36764705882353</v>
      </c>
    </row>
    <row r="676" spans="1:10" ht="47.25">
      <c r="A676" s="20" t="s">
        <v>114</v>
      </c>
      <c r="B676" s="21" t="s">
        <v>118</v>
      </c>
      <c r="C676" s="21" t="s">
        <v>26</v>
      </c>
      <c r="D676" s="21" t="s">
        <v>26</v>
      </c>
      <c r="E676" s="21" t="s">
        <v>636</v>
      </c>
      <c r="F676" s="21" t="s">
        <v>101</v>
      </c>
      <c r="G676" s="15"/>
      <c r="H676" s="98">
        <v>34</v>
      </c>
      <c r="I676" s="98">
        <v>18.485</v>
      </c>
      <c r="J676" s="99">
        <f t="shared" si="28"/>
        <v>54.36764705882353</v>
      </c>
    </row>
    <row r="677" spans="1:10" ht="78.75">
      <c r="A677" s="20" t="s">
        <v>637</v>
      </c>
      <c r="B677" s="21" t="s">
        <v>118</v>
      </c>
      <c r="C677" s="21" t="s">
        <v>26</v>
      </c>
      <c r="D677" s="21" t="s">
        <v>26</v>
      </c>
      <c r="E677" s="21" t="s">
        <v>638</v>
      </c>
      <c r="F677" s="21"/>
      <c r="G677" s="15"/>
      <c r="H677" s="98">
        <f>H678</f>
        <v>46.2</v>
      </c>
      <c r="I677" s="98">
        <f>I678</f>
        <v>44.07164</v>
      </c>
      <c r="J677" s="99">
        <f t="shared" si="28"/>
        <v>95.39316017316017</v>
      </c>
    </row>
    <row r="678" spans="1:10" ht="47.25">
      <c r="A678" s="20" t="s">
        <v>114</v>
      </c>
      <c r="B678" s="21" t="s">
        <v>118</v>
      </c>
      <c r="C678" s="21" t="s">
        <v>26</v>
      </c>
      <c r="D678" s="21" t="s">
        <v>26</v>
      </c>
      <c r="E678" s="21" t="s">
        <v>638</v>
      </c>
      <c r="F678" s="21" t="s">
        <v>101</v>
      </c>
      <c r="G678" s="15"/>
      <c r="H678" s="98">
        <f>42+4.2</f>
        <v>46.2</v>
      </c>
      <c r="I678" s="98">
        <v>44.07164</v>
      </c>
      <c r="J678" s="99">
        <f t="shared" si="28"/>
        <v>95.39316017316017</v>
      </c>
    </row>
    <row r="679" spans="1:10" ht="31.5" hidden="1">
      <c r="A679" s="20" t="s">
        <v>639</v>
      </c>
      <c r="B679" s="21" t="s">
        <v>118</v>
      </c>
      <c r="C679" s="21" t="s">
        <v>26</v>
      </c>
      <c r="D679" s="21" t="s">
        <v>26</v>
      </c>
      <c r="E679" s="21" t="s">
        <v>640</v>
      </c>
      <c r="F679" s="21"/>
      <c r="G679" s="15"/>
      <c r="H679" s="98">
        <f>H680</f>
        <v>0</v>
      </c>
      <c r="I679" s="98">
        <f>I680</f>
        <v>0</v>
      </c>
      <c r="J679" s="99" t="e">
        <f t="shared" si="28"/>
        <v>#DIV/0!</v>
      </c>
    </row>
    <row r="680" spans="1:10" ht="47.25" hidden="1">
      <c r="A680" s="20" t="s">
        <v>114</v>
      </c>
      <c r="B680" s="21" t="s">
        <v>118</v>
      </c>
      <c r="C680" s="21" t="s">
        <v>26</v>
      </c>
      <c r="D680" s="21" t="s">
        <v>26</v>
      </c>
      <c r="E680" s="21" t="s">
        <v>640</v>
      </c>
      <c r="F680" s="21" t="s">
        <v>101</v>
      </c>
      <c r="G680" s="15"/>
      <c r="H680" s="98"/>
      <c r="I680" s="98"/>
      <c r="J680" s="99" t="e">
        <f t="shared" si="28"/>
        <v>#DIV/0!</v>
      </c>
    </row>
    <row r="681" spans="1:10" ht="63">
      <c r="A681" s="20" t="s">
        <v>641</v>
      </c>
      <c r="B681" s="21" t="s">
        <v>118</v>
      </c>
      <c r="C681" s="21" t="s">
        <v>26</v>
      </c>
      <c r="D681" s="21" t="s">
        <v>26</v>
      </c>
      <c r="E681" s="21" t="s">
        <v>642</v>
      </c>
      <c r="F681" s="21"/>
      <c r="G681" s="15"/>
      <c r="H681" s="98">
        <f>H682</f>
        <v>435.50300000000004</v>
      </c>
      <c r="I681" s="98">
        <f>I682</f>
        <v>435.50300000000004</v>
      </c>
      <c r="J681" s="99">
        <f t="shared" si="28"/>
        <v>100</v>
      </c>
    </row>
    <row r="682" spans="1:10" ht="15.75">
      <c r="A682" s="20" t="s">
        <v>116</v>
      </c>
      <c r="B682" s="21" t="s">
        <v>118</v>
      </c>
      <c r="C682" s="21" t="s">
        <v>26</v>
      </c>
      <c r="D682" s="21" t="s">
        <v>26</v>
      </c>
      <c r="E682" s="21" t="s">
        <v>642</v>
      </c>
      <c r="F682" s="21" t="s">
        <v>115</v>
      </c>
      <c r="G682" s="15"/>
      <c r="H682" s="98">
        <f>399.903+35.6</f>
        <v>435.50300000000004</v>
      </c>
      <c r="I682" s="98">
        <f>399.903+35.6</f>
        <v>435.50300000000004</v>
      </c>
      <c r="J682" s="99">
        <f t="shared" si="28"/>
        <v>100</v>
      </c>
    </row>
    <row r="683" spans="1:10" ht="63">
      <c r="A683" s="20" t="s">
        <v>643</v>
      </c>
      <c r="B683" s="21" t="s">
        <v>118</v>
      </c>
      <c r="C683" s="21" t="s">
        <v>26</v>
      </c>
      <c r="D683" s="21" t="s">
        <v>26</v>
      </c>
      <c r="E683" s="21" t="s">
        <v>644</v>
      </c>
      <c r="F683" s="21"/>
      <c r="G683" s="15"/>
      <c r="H683" s="98">
        <f>H684</f>
        <v>259</v>
      </c>
      <c r="I683" s="98">
        <f>I684</f>
        <v>257.236</v>
      </c>
      <c r="J683" s="99">
        <f t="shared" si="28"/>
        <v>99.31891891891892</v>
      </c>
    </row>
    <row r="684" spans="1:10" ht="47.25">
      <c r="A684" s="20" t="s">
        <v>114</v>
      </c>
      <c r="B684" s="21" t="s">
        <v>118</v>
      </c>
      <c r="C684" s="21" t="s">
        <v>26</v>
      </c>
      <c r="D684" s="21" t="s">
        <v>26</v>
      </c>
      <c r="E684" s="21" t="s">
        <v>644</v>
      </c>
      <c r="F684" s="21" t="s">
        <v>101</v>
      </c>
      <c r="G684" s="15"/>
      <c r="H684" s="98">
        <v>259</v>
      </c>
      <c r="I684" s="98">
        <v>257.236</v>
      </c>
      <c r="J684" s="99">
        <f t="shared" si="28"/>
        <v>99.31891891891892</v>
      </c>
    </row>
    <row r="685" spans="1:10" ht="63">
      <c r="A685" s="20" t="s">
        <v>645</v>
      </c>
      <c r="B685" s="21" t="s">
        <v>118</v>
      </c>
      <c r="C685" s="21" t="s">
        <v>26</v>
      </c>
      <c r="D685" s="21" t="s">
        <v>26</v>
      </c>
      <c r="E685" s="21" t="s">
        <v>646</v>
      </c>
      <c r="F685" s="21"/>
      <c r="G685" s="15"/>
      <c r="H685" s="98">
        <f>H686</f>
        <v>7.2</v>
      </c>
      <c r="I685" s="98">
        <f>I686</f>
        <v>0</v>
      </c>
      <c r="J685" s="99">
        <f t="shared" si="28"/>
        <v>0</v>
      </c>
    </row>
    <row r="686" spans="1:10" ht="47.25">
      <c r="A686" s="20" t="s">
        <v>114</v>
      </c>
      <c r="B686" s="21" t="s">
        <v>118</v>
      </c>
      <c r="C686" s="21" t="s">
        <v>26</v>
      </c>
      <c r="D686" s="21" t="s">
        <v>26</v>
      </c>
      <c r="E686" s="21" t="s">
        <v>646</v>
      </c>
      <c r="F686" s="21" t="s">
        <v>101</v>
      </c>
      <c r="G686" s="15"/>
      <c r="H686" s="98">
        <v>7.2</v>
      </c>
      <c r="I686" s="98"/>
      <c r="J686" s="99">
        <f t="shared" si="28"/>
        <v>0</v>
      </c>
    </row>
    <row r="687" spans="1:10" ht="15.75">
      <c r="A687" s="20" t="s">
        <v>30</v>
      </c>
      <c r="B687" s="21" t="s">
        <v>118</v>
      </c>
      <c r="C687" s="21" t="s">
        <v>26</v>
      </c>
      <c r="D687" s="21" t="s">
        <v>19</v>
      </c>
      <c r="E687" s="21"/>
      <c r="F687" s="21"/>
      <c r="G687" s="15" t="e">
        <f>#REF!+#REF!+#REF!</f>
        <v>#REF!</v>
      </c>
      <c r="H687" s="99">
        <f>H688+H735</f>
        <v>41329.562</v>
      </c>
      <c r="I687" s="99">
        <f>I688+I735</f>
        <v>40957.53380999999</v>
      </c>
      <c r="J687" s="99">
        <f t="shared" si="28"/>
        <v>99.09984966692848</v>
      </c>
    </row>
    <row r="688" spans="1:10" ht="47.25">
      <c r="A688" s="20" t="s">
        <v>540</v>
      </c>
      <c r="B688" s="21" t="s">
        <v>118</v>
      </c>
      <c r="C688" s="21" t="s">
        <v>26</v>
      </c>
      <c r="D688" s="21" t="s">
        <v>19</v>
      </c>
      <c r="E688" s="21" t="s">
        <v>541</v>
      </c>
      <c r="F688" s="21"/>
      <c r="G688" s="15" t="e">
        <f>#REF!+#REF!+#REF!</f>
        <v>#REF!</v>
      </c>
      <c r="H688" s="98">
        <f>H689+H726</f>
        <v>39105.975</v>
      </c>
      <c r="I688" s="98">
        <f>I689+I726</f>
        <v>38733.946809999994</v>
      </c>
      <c r="J688" s="99">
        <f t="shared" si="28"/>
        <v>99.04866662958793</v>
      </c>
    </row>
    <row r="689" spans="1:10" ht="47.25">
      <c r="A689" s="20" t="s">
        <v>647</v>
      </c>
      <c r="B689" s="21" t="s">
        <v>118</v>
      </c>
      <c r="C689" s="21" t="s">
        <v>26</v>
      </c>
      <c r="D689" s="21" t="s">
        <v>19</v>
      </c>
      <c r="E689" s="21" t="s">
        <v>648</v>
      </c>
      <c r="F689" s="21"/>
      <c r="G689" s="15"/>
      <c r="H689" s="98">
        <f>H690+H707+H709+H711</f>
        <v>35962.604999999996</v>
      </c>
      <c r="I689" s="98">
        <f>I690+I707+I709+I711</f>
        <v>35673.030679999996</v>
      </c>
      <c r="J689" s="99">
        <f t="shared" si="28"/>
        <v>99.19479047749739</v>
      </c>
    </row>
    <row r="690" spans="1:10" ht="31.5">
      <c r="A690" s="20" t="s">
        <v>649</v>
      </c>
      <c r="B690" s="21" t="s">
        <v>118</v>
      </c>
      <c r="C690" s="21" t="s">
        <v>26</v>
      </c>
      <c r="D690" s="21" t="s">
        <v>19</v>
      </c>
      <c r="E690" s="21" t="s">
        <v>650</v>
      </c>
      <c r="F690" s="21"/>
      <c r="G690" s="15"/>
      <c r="H690" s="98">
        <f>H691+H697</f>
        <v>14187.014000000001</v>
      </c>
      <c r="I690" s="98">
        <f>I691+I697</f>
        <v>14089.28106</v>
      </c>
      <c r="J690" s="99">
        <f t="shared" si="28"/>
        <v>99.31110986427446</v>
      </c>
    </row>
    <row r="691" spans="1:10" ht="47.25">
      <c r="A691" s="20" t="s">
        <v>651</v>
      </c>
      <c r="B691" s="21" t="s">
        <v>118</v>
      </c>
      <c r="C691" s="21" t="s">
        <v>26</v>
      </c>
      <c r="D691" s="21" t="s">
        <v>19</v>
      </c>
      <c r="E691" s="21" t="s">
        <v>652</v>
      </c>
      <c r="F691" s="21"/>
      <c r="G691" s="15"/>
      <c r="H691" s="98">
        <f>H692</f>
        <v>13319.514000000001</v>
      </c>
      <c r="I691" s="98">
        <f>I692</f>
        <v>13226.28427</v>
      </c>
      <c r="J691" s="99">
        <f t="shared" si="28"/>
        <v>99.30005156344292</v>
      </c>
    </row>
    <row r="692" spans="1:10" ht="15.75">
      <c r="A692" s="20" t="s">
        <v>82</v>
      </c>
      <c r="B692" s="21" t="s">
        <v>118</v>
      </c>
      <c r="C692" s="21" t="s">
        <v>26</v>
      </c>
      <c r="D692" s="21" t="s">
        <v>19</v>
      </c>
      <c r="E692" s="21" t="s">
        <v>652</v>
      </c>
      <c r="F692" s="21" t="s">
        <v>81</v>
      </c>
      <c r="G692" s="15"/>
      <c r="H692" s="98">
        <f>H693+H694+H695+H696</f>
        <v>13319.514000000001</v>
      </c>
      <c r="I692" s="98">
        <f>I693+I694+I695+I696</f>
        <v>13226.28427</v>
      </c>
      <c r="J692" s="99">
        <f t="shared" si="28"/>
        <v>99.30005156344292</v>
      </c>
    </row>
    <row r="693" spans="1:10" ht="15.75">
      <c r="A693" s="20" t="s">
        <v>191</v>
      </c>
      <c r="B693" s="21" t="s">
        <v>118</v>
      </c>
      <c r="C693" s="21" t="s">
        <v>26</v>
      </c>
      <c r="D693" s="21" t="s">
        <v>19</v>
      </c>
      <c r="E693" s="21" t="s">
        <v>652</v>
      </c>
      <c r="F693" s="21" t="s">
        <v>83</v>
      </c>
      <c r="G693" s="15"/>
      <c r="H693" s="98">
        <f>10088.44+141.716</f>
        <v>10230.156</v>
      </c>
      <c r="I693" s="98">
        <v>10204.64776</v>
      </c>
      <c r="J693" s="99">
        <f t="shared" si="28"/>
        <v>99.75065639272754</v>
      </c>
    </row>
    <row r="694" spans="1:10" ht="15.75" hidden="1">
      <c r="A694" s="20" t="s">
        <v>86</v>
      </c>
      <c r="B694" s="21" t="s">
        <v>118</v>
      </c>
      <c r="C694" s="21" t="s">
        <v>26</v>
      </c>
      <c r="D694" s="21" t="s">
        <v>19</v>
      </c>
      <c r="E694" s="21" t="s">
        <v>652</v>
      </c>
      <c r="F694" s="21" t="s">
        <v>85</v>
      </c>
      <c r="G694" s="15"/>
      <c r="H694" s="98"/>
      <c r="I694" s="98"/>
      <c r="J694" s="99" t="e">
        <f t="shared" si="28"/>
        <v>#DIV/0!</v>
      </c>
    </row>
    <row r="695" spans="1:10" ht="47.25" hidden="1">
      <c r="A695" s="20" t="s">
        <v>128</v>
      </c>
      <c r="B695" s="21" t="s">
        <v>118</v>
      </c>
      <c r="C695" s="21" t="s">
        <v>26</v>
      </c>
      <c r="D695" s="21" t="s">
        <v>19</v>
      </c>
      <c r="E695" s="21" t="s">
        <v>652</v>
      </c>
      <c r="F695" s="21" t="s">
        <v>127</v>
      </c>
      <c r="G695" s="15"/>
      <c r="H695" s="98"/>
      <c r="I695" s="98"/>
      <c r="J695" s="99" t="e">
        <f t="shared" si="28"/>
        <v>#DIV/0!</v>
      </c>
    </row>
    <row r="696" spans="1:10" ht="31.5">
      <c r="A696" s="20" t="s">
        <v>192</v>
      </c>
      <c r="B696" s="21" t="s">
        <v>118</v>
      </c>
      <c r="C696" s="21" t="s">
        <v>26</v>
      </c>
      <c r="D696" s="21" t="s">
        <v>19</v>
      </c>
      <c r="E696" s="21" t="s">
        <v>652</v>
      </c>
      <c r="F696" s="21" t="s">
        <v>193</v>
      </c>
      <c r="G696" s="15"/>
      <c r="H696" s="98">
        <f>3046.56+42.798</f>
        <v>3089.358</v>
      </c>
      <c r="I696" s="98">
        <v>3021.63651</v>
      </c>
      <c r="J696" s="99">
        <f t="shared" si="28"/>
        <v>97.8079105755953</v>
      </c>
    </row>
    <row r="697" spans="1:10" ht="31.5">
      <c r="A697" s="20" t="s">
        <v>653</v>
      </c>
      <c r="B697" s="21" t="s">
        <v>118</v>
      </c>
      <c r="C697" s="21" t="s">
        <v>26</v>
      </c>
      <c r="D697" s="21" t="s">
        <v>19</v>
      </c>
      <c r="E697" s="21" t="s">
        <v>654</v>
      </c>
      <c r="F697" s="21"/>
      <c r="G697" s="15"/>
      <c r="H697" s="98">
        <f>H698+H700+H703</f>
        <v>867.5</v>
      </c>
      <c r="I697" s="98">
        <f>I698+I700+I703</f>
        <v>862.99679</v>
      </c>
      <c r="J697" s="99">
        <f t="shared" si="28"/>
        <v>99.48089798270894</v>
      </c>
    </row>
    <row r="698" spans="1:10" ht="15.75">
      <c r="A698" s="20" t="s">
        <v>82</v>
      </c>
      <c r="B698" s="21" t="s">
        <v>118</v>
      </c>
      <c r="C698" s="21" t="s">
        <v>26</v>
      </c>
      <c r="D698" s="21" t="s">
        <v>19</v>
      </c>
      <c r="E698" s="21" t="s">
        <v>654</v>
      </c>
      <c r="F698" s="21" t="s">
        <v>81</v>
      </c>
      <c r="G698" s="15"/>
      <c r="H698" s="98">
        <f>H699</f>
        <v>386.4</v>
      </c>
      <c r="I698" s="98">
        <f>I699</f>
        <v>383.323</v>
      </c>
      <c r="J698" s="99">
        <f t="shared" si="28"/>
        <v>99.20367494824016</v>
      </c>
    </row>
    <row r="699" spans="1:10" ht="31.5">
      <c r="A699" s="20" t="s">
        <v>138</v>
      </c>
      <c r="B699" s="21" t="s">
        <v>118</v>
      </c>
      <c r="C699" s="21" t="s">
        <v>26</v>
      </c>
      <c r="D699" s="21" t="s">
        <v>19</v>
      </c>
      <c r="E699" s="21" t="s">
        <v>654</v>
      </c>
      <c r="F699" s="21" t="s">
        <v>85</v>
      </c>
      <c r="G699" s="15"/>
      <c r="H699" s="98">
        <f>394-7.6</f>
        <v>386.4</v>
      </c>
      <c r="I699" s="98">
        <v>383.323</v>
      </c>
      <c r="J699" s="99">
        <f t="shared" si="28"/>
        <v>99.20367494824016</v>
      </c>
    </row>
    <row r="700" spans="1:10" ht="15.75">
      <c r="A700" s="20" t="s">
        <v>88</v>
      </c>
      <c r="B700" s="21" t="s">
        <v>118</v>
      </c>
      <c r="C700" s="21" t="s">
        <v>26</v>
      </c>
      <c r="D700" s="21" t="s">
        <v>19</v>
      </c>
      <c r="E700" s="21" t="s">
        <v>654</v>
      </c>
      <c r="F700" s="21" t="s">
        <v>87</v>
      </c>
      <c r="G700" s="15"/>
      <c r="H700" s="98">
        <f>H701+H702</f>
        <v>475.869</v>
      </c>
      <c r="I700" s="98">
        <f>I701+I702</f>
        <v>474.51319</v>
      </c>
      <c r="J700" s="99">
        <f t="shared" si="28"/>
        <v>99.71508755560879</v>
      </c>
    </row>
    <row r="701" spans="1:10" ht="31.5">
      <c r="A701" s="20" t="s">
        <v>92</v>
      </c>
      <c r="B701" s="21" t="s">
        <v>118</v>
      </c>
      <c r="C701" s="21" t="s">
        <v>26</v>
      </c>
      <c r="D701" s="21" t="s">
        <v>19</v>
      </c>
      <c r="E701" s="21" t="s">
        <v>654</v>
      </c>
      <c r="F701" s="21" t="s">
        <v>89</v>
      </c>
      <c r="G701" s="15"/>
      <c r="H701" s="98">
        <v>268.5</v>
      </c>
      <c r="I701" s="98">
        <v>268.257</v>
      </c>
      <c r="J701" s="99">
        <f t="shared" si="28"/>
        <v>99.90949720670392</v>
      </c>
    </row>
    <row r="702" spans="1:10" ht="15.75">
      <c r="A702" s="20" t="s">
        <v>215</v>
      </c>
      <c r="B702" s="21" t="s">
        <v>118</v>
      </c>
      <c r="C702" s="21" t="s">
        <v>26</v>
      </c>
      <c r="D702" s="21" t="s">
        <v>19</v>
      </c>
      <c r="E702" s="21" t="s">
        <v>654</v>
      </c>
      <c r="F702" s="21" t="s">
        <v>90</v>
      </c>
      <c r="G702" s="15"/>
      <c r="H702" s="98">
        <f>199.769+7.6</f>
        <v>207.369</v>
      </c>
      <c r="I702" s="98">
        <v>206.25619</v>
      </c>
      <c r="J702" s="99">
        <f t="shared" si="28"/>
        <v>99.46336723425392</v>
      </c>
    </row>
    <row r="703" spans="1:10" ht="15.75">
      <c r="A703" s="20" t="s">
        <v>93</v>
      </c>
      <c r="B703" s="21" t="s">
        <v>118</v>
      </c>
      <c r="C703" s="21" t="s">
        <v>26</v>
      </c>
      <c r="D703" s="21" t="s">
        <v>19</v>
      </c>
      <c r="E703" s="21" t="s">
        <v>654</v>
      </c>
      <c r="F703" s="21" t="s">
        <v>94</v>
      </c>
      <c r="G703" s="15"/>
      <c r="H703" s="98">
        <f>H704+H705+H706</f>
        <v>5.231</v>
      </c>
      <c r="I703" s="98">
        <f>I704+I705+I706</f>
        <v>5.1606</v>
      </c>
      <c r="J703" s="99">
        <f t="shared" si="28"/>
        <v>98.65417702160198</v>
      </c>
    </row>
    <row r="704" spans="1:10" ht="15.75">
      <c r="A704" s="20" t="s">
        <v>97</v>
      </c>
      <c r="B704" s="21" t="s">
        <v>118</v>
      </c>
      <c r="C704" s="21" t="s">
        <v>26</v>
      </c>
      <c r="D704" s="21" t="s">
        <v>19</v>
      </c>
      <c r="E704" s="21" t="s">
        <v>654</v>
      </c>
      <c r="F704" s="21" t="s">
        <v>95</v>
      </c>
      <c r="G704" s="15"/>
      <c r="H704" s="98">
        <f>2-0.542</f>
        <v>1.458</v>
      </c>
      <c r="I704" s="98">
        <v>1.395</v>
      </c>
      <c r="J704" s="99">
        <f t="shared" si="28"/>
        <v>95.67901234567901</v>
      </c>
    </row>
    <row r="705" spans="1:10" ht="15.75">
      <c r="A705" s="20" t="s">
        <v>233</v>
      </c>
      <c r="B705" s="21" t="s">
        <v>118</v>
      </c>
      <c r="C705" s="21" t="s">
        <v>26</v>
      </c>
      <c r="D705" s="21" t="s">
        <v>19</v>
      </c>
      <c r="E705" s="21" t="s">
        <v>654</v>
      </c>
      <c r="F705" s="21" t="s">
        <v>96</v>
      </c>
      <c r="G705" s="15"/>
      <c r="H705" s="98">
        <f>2+0.752</f>
        <v>2.752</v>
      </c>
      <c r="I705" s="98">
        <v>2.7446</v>
      </c>
      <c r="J705" s="99">
        <f t="shared" si="28"/>
        <v>99.73110465116281</v>
      </c>
    </row>
    <row r="706" spans="1:10" ht="15.75">
      <c r="A706" s="20" t="s">
        <v>270</v>
      </c>
      <c r="B706" s="21" t="s">
        <v>118</v>
      </c>
      <c r="C706" s="21" t="s">
        <v>26</v>
      </c>
      <c r="D706" s="21" t="s">
        <v>19</v>
      </c>
      <c r="E706" s="21" t="s">
        <v>654</v>
      </c>
      <c r="F706" s="21" t="s">
        <v>271</v>
      </c>
      <c r="G706" s="15"/>
      <c r="H706" s="98">
        <f>1.231-0.21</f>
        <v>1.0210000000000001</v>
      </c>
      <c r="I706" s="98">
        <f>1.231-0.21</f>
        <v>1.0210000000000001</v>
      </c>
      <c r="J706" s="99">
        <f t="shared" si="28"/>
        <v>100</v>
      </c>
    </row>
    <row r="707" spans="1:10" ht="47.25" hidden="1">
      <c r="A707" s="20" t="s">
        <v>655</v>
      </c>
      <c r="B707" s="21" t="s">
        <v>118</v>
      </c>
      <c r="C707" s="21" t="s">
        <v>26</v>
      </c>
      <c r="D707" s="21" t="s">
        <v>19</v>
      </c>
      <c r="E707" s="21" t="s">
        <v>656</v>
      </c>
      <c r="F707" s="21"/>
      <c r="G707" s="15"/>
      <c r="H707" s="98">
        <f>H708</f>
        <v>0</v>
      </c>
      <c r="I707" s="98">
        <f>I708</f>
        <v>0</v>
      </c>
      <c r="J707" s="99" t="e">
        <f t="shared" si="28"/>
        <v>#DIV/0!</v>
      </c>
    </row>
    <row r="708" spans="1:10" ht="31.5" hidden="1">
      <c r="A708" s="20" t="s">
        <v>138</v>
      </c>
      <c r="B708" s="21" t="s">
        <v>118</v>
      </c>
      <c r="C708" s="21" t="s">
        <v>26</v>
      </c>
      <c r="D708" s="21" t="s">
        <v>19</v>
      </c>
      <c r="E708" s="21" t="s">
        <v>656</v>
      </c>
      <c r="F708" s="21" t="s">
        <v>85</v>
      </c>
      <c r="G708" s="15"/>
      <c r="H708" s="98"/>
      <c r="I708" s="98"/>
      <c r="J708" s="99" t="e">
        <f t="shared" si="28"/>
        <v>#DIV/0!</v>
      </c>
    </row>
    <row r="709" spans="1:10" ht="47.25">
      <c r="A709" s="20" t="s">
        <v>657</v>
      </c>
      <c r="B709" s="21" t="s">
        <v>118</v>
      </c>
      <c r="C709" s="21" t="s">
        <v>26</v>
      </c>
      <c r="D709" s="21" t="s">
        <v>19</v>
      </c>
      <c r="E709" s="21" t="s">
        <v>658</v>
      </c>
      <c r="F709" s="21"/>
      <c r="G709" s="15"/>
      <c r="H709" s="98">
        <f>H710</f>
        <v>155</v>
      </c>
      <c r="I709" s="98">
        <f>I710</f>
        <v>154.137</v>
      </c>
      <c r="J709" s="99">
        <f t="shared" si="28"/>
        <v>99.44322580645162</v>
      </c>
    </row>
    <row r="710" spans="1:10" ht="15.75">
      <c r="A710" s="20" t="s">
        <v>97</v>
      </c>
      <c r="B710" s="21" t="s">
        <v>118</v>
      </c>
      <c r="C710" s="21" t="s">
        <v>26</v>
      </c>
      <c r="D710" s="21" t="s">
        <v>19</v>
      </c>
      <c r="E710" s="21" t="s">
        <v>658</v>
      </c>
      <c r="F710" s="21" t="s">
        <v>95</v>
      </c>
      <c r="G710" s="15"/>
      <c r="H710" s="98">
        <v>155</v>
      </c>
      <c r="I710" s="98">
        <v>154.137</v>
      </c>
      <c r="J710" s="99">
        <f t="shared" si="28"/>
        <v>99.44322580645162</v>
      </c>
    </row>
    <row r="711" spans="1:10" ht="47.25">
      <c r="A711" s="20" t="s">
        <v>659</v>
      </c>
      <c r="B711" s="21" t="s">
        <v>118</v>
      </c>
      <c r="C711" s="21" t="s">
        <v>26</v>
      </c>
      <c r="D711" s="21" t="s">
        <v>19</v>
      </c>
      <c r="E711" s="21" t="s">
        <v>660</v>
      </c>
      <c r="F711" s="21"/>
      <c r="G711" s="15"/>
      <c r="H711" s="98">
        <f>H712+H714+H716+H718+H721+H724</f>
        <v>21620.590999999997</v>
      </c>
      <c r="I711" s="98">
        <f>I712+I714+I716+I718+I721+I724</f>
        <v>21429.61262</v>
      </c>
      <c r="J711" s="99">
        <f t="shared" si="28"/>
        <v>99.11668288808573</v>
      </c>
    </row>
    <row r="712" spans="1:10" ht="63">
      <c r="A712" s="20" t="s">
        <v>661</v>
      </c>
      <c r="B712" s="21" t="s">
        <v>118</v>
      </c>
      <c r="C712" s="21" t="s">
        <v>26</v>
      </c>
      <c r="D712" s="21" t="s">
        <v>19</v>
      </c>
      <c r="E712" s="21" t="s">
        <v>662</v>
      </c>
      <c r="F712" s="21"/>
      <c r="G712" s="15"/>
      <c r="H712" s="98">
        <f>H713</f>
        <v>16814.2</v>
      </c>
      <c r="I712" s="98">
        <f>I713</f>
        <v>16814.2</v>
      </c>
      <c r="J712" s="99">
        <f t="shared" si="28"/>
        <v>100</v>
      </c>
    </row>
    <row r="713" spans="1:10" ht="47.25">
      <c r="A713" s="20" t="s">
        <v>114</v>
      </c>
      <c r="B713" s="21" t="s">
        <v>118</v>
      </c>
      <c r="C713" s="21" t="s">
        <v>26</v>
      </c>
      <c r="D713" s="21" t="s">
        <v>19</v>
      </c>
      <c r="E713" s="21" t="s">
        <v>662</v>
      </c>
      <c r="F713" s="21" t="s">
        <v>101</v>
      </c>
      <c r="G713" s="15"/>
      <c r="H713" s="98">
        <v>16814.2</v>
      </c>
      <c r="I713" s="98">
        <v>16814.2</v>
      </c>
      <c r="J713" s="99">
        <f t="shared" si="28"/>
        <v>100</v>
      </c>
    </row>
    <row r="714" spans="1:10" ht="63">
      <c r="A714" s="20" t="s">
        <v>663</v>
      </c>
      <c r="B714" s="21" t="s">
        <v>118</v>
      </c>
      <c r="C714" s="21" t="s">
        <v>26</v>
      </c>
      <c r="D714" s="21" t="s">
        <v>19</v>
      </c>
      <c r="E714" s="21" t="s">
        <v>664</v>
      </c>
      <c r="F714" s="21"/>
      <c r="G714" s="15"/>
      <c r="H714" s="98">
        <f>H715</f>
        <v>1747.35</v>
      </c>
      <c r="I714" s="98">
        <f>I715</f>
        <v>1669.54091</v>
      </c>
      <c r="J714" s="99">
        <f t="shared" si="28"/>
        <v>95.54702320656995</v>
      </c>
    </row>
    <row r="715" spans="1:10" ht="47.25">
      <c r="A715" s="20" t="s">
        <v>114</v>
      </c>
      <c r="B715" s="21" t="s">
        <v>118</v>
      </c>
      <c r="C715" s="21" t="s">
        <v>26</v>
      </c>
      <c r="D715" s="21" t="s">
        <v>19</v>
      </c>
      <c r="E715" s="21" t="s">
        <v>664</v>
      </c>
      <c r="F715" s="21" t="s">
        <v>101</v>
      </c>
      <c r="G715" s="15"/>
      <c r="H715" s="98">
        <f>1719.05+28.3</f>
        <v>1747.35</v>
      </c>
      <c r="I715" s="98">
        <v>1669.54091</v>
      </c>
      <c r="J715" s="99">
        <f t="shared" si="28"/>
        <v>95.54702320656995</v>
      </c>
    </row>
    <row r="716" spans="1:10" ht="47.25" hidden="1">
      <c r="A716" s="20" t="s">
        <v>665</v>
      </c>
      <c r="B716" s="21" t="s">
        <v>118</v>
      </c>
      <c r="C716" s="21" t="s">
        <v>26</v>
      </c>
      <c r="D716" s="21" t="s">
        <v>19</v>
      </c>
      <c r="E716" s="21" t="s">
        <v>666</v>
      </c>
      <c r="F716" s="21"/>
      <c r="G716" s="15"/>
      <c r="H716" s="98">
        <f>H717</f>
        <v>0</v>
      </c>
      <c r="I716" s="98">
        <f>I717</f>
        <v>0</v>
      </c>
      <c r="J716" s="99" t="e">
        <f t="shared" si="28"/>
        <v>#DIV/0!</v>
      </c>
    </row>
    <row r="717" spans="1:10" ht="15.75" hidden="1">
      <c r="A717" s="20" t="s">
        <v>116</v>
      </c>
      <c r="B717" s="21" t="s">
        <v>118</v>
      </c>
      <c r="C717" s="21" t="s">
        <v>26</v>
      </c>
      <c r="D717" s="21" t="s">
        <v>19</v>
      </c>
      <c r="E717" s="21" t="s">
        <v>666</v>
      </c>
      <c r="F717" s="21" t="s">
        <v>115</v>
      </c>
      <c r="G717" s="15"/>
      <c r="H717" s="98"/>
      <c r="I717" s="98"/>
      <c r="J717" s="99" t="e">
        <f t="shared" si="28"/>
        <v>#DIV/0!</v>
      </c>
    </row>
    <row r="718" spans="1:10" ht="63">
      <c r="A718" s="20" t="s">
        <v>667</v>
      </c>
      <c r="B718" s="21" t="s">
        <v>118</v>
      </c>
      <c r="C718" s="21" t="s">
        <v>26</v>
      </c>
      <c r="D718" s="21" t="s">
        <v>19</v>
      </c>
      <c r="E718" s="21" t="s">
        <v>668</v>
      </c>
      <c r="F718" s="21"/>
      <c r="G718" s="15"/>
      <c r="H718" s="98">
        <f>H719+H720</f>
        <v>168.85</v>
      </c>
      <c r="I718" s="98">
        <f>I719+I720</f>
        <v>97.7864</v>
      </c>
      <c r="J718" s="99">
        <f t="shared" si="28"/>
        <v>57.91317737636956</v>
      </c>
    </row>
    <row r="719" spans="1:10" ht="47.25">
      <c r="A719" s="20" t="s">
        <v>114</v>
      </c>
      <c r="B719" s="21" t="s">
        <v>118</v>
      </c>
      <c r="C719" s="21" t="s">
        <v>26</v>
      </c>
      <c r="D719" s="21" t="s">
        <v>19</v>
      </c>
      <c r="E719" s="21" t="s">
        <v>668</v>
      </c>
      <c r="F719" s="21" t="s">
        <v>101</v>
      </c>
      <c r="G719" s="15"/>
      <c r="H719" s="98">
        <v>24</v>
      </c>
      <c r="I719" s="98">
        <v>24</v>
      </c>
      <c r="J719" s="99">
        <f t="shared" si="28"/>
        <v>100</v>
      </c>
    </row>
    <row r="720" spans="1:10" ht="15.75">
      <c r="A720" s="20" t="s">
        <v>116</v>
      </c>
      <c r="B720" s="21" t="s">
        <v>118</v>
      </c>
      <c r="C720" s="21" t="s">
        <v>26</v>
      </c>
      <c r="D720" s="21" t="s">
        <v>19</v>
      </c>
      <c r="E720" s="21" t="s">
        <v>668</v>
      </c>
      <c r="F720" s="21" t="s">
        <v>115</v>
      </c>
      <c r="G720" s="15"/>
      <c r="H720" s="98">
        <v>144.85</v>
      </c>
      <c r="I720" s="98">
        <v>73.7864</v>
      </c>
      <c r="J720" s="99">
        <f t="shared" si="28"/>
        <v>50.93986882982395</v>
      </c>
    </row>
    <row r="721" spans="1:10" ht="63">
      <c r="A721" s="20" t="s">
        <v>669</v>
      </c>
      <c r="B721" s="21" t="s">
        <v>118</v>
      </c>
      <c r="C721" s="21" t="s">
        <v>26</v>
      </c>
      <c r="D721" s="21" t="s">
        <v>19</v>
      </c>
      <c r="E721" s="21" t="s">
        <v>670</v>
      </c>
      <c r="F721" s="21"/>
      <c r="G721" s="15"/>
      <c r="H721" s="98">
        <f>H722+H723</f>
        <v>2884.1910000000003</v>
      </c>
      <c r="I721" s="98">
        <f>I722+I723</f>
        <v>2842.08531</v>
      </c>
      <c r="J721" s="99">
        <f t="shared" si="28"/>
        <v>98.54012130264603</v>
      </c>
    </row>
    <row r="722" spans="1:10" ht="47.25">
      <c r="A722" s="20" t="s">
        <v>114</v>
      </c>
      <c r="B722" s="21" t="s">
        <v>118</v>
      </c>
      <c r="C722" s="21" t="s">
        <v>26</v>
      </c>
      <c r="D722" s="21" t="s">
        <v>19</v>
      </c>
      <c r="E722" s="21" t="s">
        <v>670</v>
      </c>
      <c r="F722" s="21" t="s">
        <v>101</v>
      </c>
      <c r="G722" s="15"/>
      <c r="H722" s="98">
        <v>2765.88</v>
      </c>
      <c r="I722" s="98">
        <v>2723.77431</v>
      </c>
      <c r="J722" s="99">
        <f t="shared" si="28"/>
        <v>98.47767473643107</v>
      </c>
    </row>
    <row r="723" spans="1:10" ht="15.75">
      <c r="A723" s="20" t="s">
        <v>116</v>
      </c>
      <c r="B723" s="21" t="s">
        <v>118</v>
      </c>
      <c r="C723" s="21" t="s">
        <v>26</v>
      </c>
      <c r="D723" s="21" t="s">
        <v>19</v>
      </c>
      <c r="E723" s="21" t="s">
        <v>670</v>
      </c>
      <c r="F723" s="21" t="s">
        <v>115</v>
      </c>
      <c r="G723" s="15"/>
      <c r="H723" s="98">
        <v>118.311</v>
      </c>
      <c r="I723" s="98">
        <v>118.311</v>
      </c>
      <c r="J723" s="99">
        <f t="shared" si="28"/>
        <v>100</v>
      </c>
    </row>
    <row r="724" spans="1:10" ht="63">
      <c r="A724" s="20" t="s">
        <v>671</v>
      </c>
      <c r="B724" s="21" t="s">
        <v>118</v>
      </c>
      <c r="C724" s="21" t="s">
        <v>26</v>
      </c>
      <c r="D724" s="21" t="s">
        <v>19</v>
      </c>
      <c r="E724" s="21" t="s">
        <v>672</v>
      </c>
      <c r="F724" s="21"/>
      <c r="G724" s="15"/>
      <c r="H724" s="98">
        <f>H725</f>
        <v>6</v>
      </c>
      <c r="I724" s="98">
        <f>I725</f>
        <v>6</v>
      </c>
      <c r="J724" s="99">
        <f t="shared" si="28"/>
        <v>100</v>
      </c>
    </row>
    <row r="725" spans="1:10" ht="47.25">
      <c r="A725" s="20" t="s">
        <v>114</v>
      </c>
      <c r="B725" s="21" t="s">
        <v>118</v>
      </c>
      <c r="C725" s="21" t="s">
        <v>26</v>
      </c>
      <c r="D725" s="21" t="s">
        <v>19</v>
      </c>
      <c r="E725" s="21" t="s">
        <v>672</v>
      </c>
      <c r="F725" s="21" t="s">
        <v>101</v>
      </c>
      <c r="G725" s="15"/>
      <c r="H725" s="98">
        <v>6</v>
      </c>
      <c r="I725" s="98">
        <v>6</v>
      </c>
      <c r="J725" s="99">
        <f t="shared" si="28"/>
        <v>100</v>
      </c>
    </row>
    <row r="726" spans="1:10" ht="31.5">
      <c r="A726" s="20" t="s">
        <v>673</v>
      </c>
      <c r="B726" s="21" t="s">
        <v>118</v>
      </c>
      <c r="C726" s="21" t="s">
        <v>26</v>
      </c>
      <c r="D726" s="21" t="s">
        <v>19</v>
      </c>
      <c r="E726" s="21" t="s">
        <v>674</v>
      </c>
      <c r="F726" s="21"/>
      <c r="G726" s="15"/>
      <c r="H726" s="98">
        <f>H727+H729+H731+H733</f>
        <v>3143.3700000000003</v>
      </c>
      <c r="I726" s="98">
        <f>I727+I729+I731+I733</f>
        <v>3060.91613</v>
      </c>
      <c r="J726" s="99">
        <f t="shared" si="28"/>
        <v>97.37689581563735</v>
      </c>
    </row>
    <row r="727" spans="1:10" ht="63">
      <c r="A727" s="20" t="s">
        <v>675</v>
      </c>
      <c r="B727" s="21" t="s">
        <v>118</v>
      </c>
      <c r="C727" s="21" t="s">
        <v>26</v>
      </c>
      <c r="D727" s="21" t="s">
        <v>19</v>
      </c>
      <c r="E727" s="21" t="s">
        <v>676</v>
      </c>
      <c r="F727" s="21"/>
      <c r="G727" s="15"/>
      <c r="H727" s="98">
        <f>H728</f>
        <v>2469.07</v>
      </c>
      <c r="I727" s="98">
        <f>I728</f>
        <v>2469.07</v>
      </c>
      <c r="J727" s="99">
        <f t="shared" si="28"/>
        <v>100</v>
      </c>
    </row>
    <row r="728" spans="1:10" ht="47.25">
      <c r="A728" s="20" t="s">
        <v>677</v>
      </c>
      <c r="B728" s="21" t="s">
        <v>118</v>
      </c>
      <c r="C728" s="21" t="s">
        <v>26</v>
      </c>
      <c r="D728" s="21" t="s">
        <v>19</v>
      </c>
      <c r="E728" s="21" t="s">
        <v>676</v>
      </c>
      <c r="F728" s="21" t="s">
        <v>112</v>
      </c>
      <c r="G728" s="15"/>
      <c r="H728" s="98">
        <v>2469.07</v>
      </c>
      <c r="I728" s="98">
        <v>2469.07</v>
      </c>
      <c r="J728" s="99">
        <f t="shared" si="28"/>
        <v>100</v>
      </c>
    </row>
    <row r="729" spans="1:10" ht="47.25">
      <c r="A729" s="20" t="s">
        <v>678</v>
      </c>
      <c r="B729" s="21" t="s">
        <v>118</v>
      </c>
      <c r="C729" s="21" t="s">
        <v>26</v>
      </c>
      <c r="D729" s="21" t="s">
        <v>19</v>
      </c>
      <c r="E729" s="21" t="s">
        <v>679</v>
      </c>
      <c r="F729" s="21"/>
      <c r="G729" s="15"/>
      <c r="H729" s="98">
        <f>H730</f>
        <v>48.3</v>
      </c>
      <c r="I729" s="98">
        <f>I730</f>
        <v>44.63353</v>
      </c>
      <c r="J729" s="99">
        <f aca="true" t="shared" si="29" ref="J729:J747">I729/H729*100</f>
        <v>92.40896480331263</v>
      </c>
    </row>
    <row r="730" spans="1:10" ht="47.25">
      <c r="A730" s="20" t="s">
        <v>677</v>
      </c>
      <c r="B730" s="21" t="s">
        <v>118</v>
      </c>
      <c r="C730" s="21" t="s">
        <v>26</v>
      </c>
      <c r="D730" s="21" t="s">
        <v>19</v>
      </c>
      <c r="E730" s="21" t="s">
        <v>679</v>
      </c>
      <c r="F730" s="21" t="s">
        <v>112</v>
      </c>
      <c r="G730" s="15"/>
      <c r="H730" s="98">
        <v>48.3</v>
      </c>
      <c r="I730" s="98">
        <v>44.63353</v>
      </c>
      <c r="J730" s="99">
        <f t="shared" si="29"/>
        <v>92.40896480331263</v>
      </c>
    </row>
    <row r="731" spans="1:10" ht="63" hidden="1">
      <c r="A731" s="20" t="s">
        <v>680</v>
      </c>
      <c r="B731" s="21" t="s">
        <v>118</v>
      </c>
      <c r="C731" s="21" t="s">
        <v>26</v>
      </c>
      <c r="D731" s="21" t="s">
        <v>19</v>
      </c>
      <c r="E731" s="21" t="s">
        <v>681</v>
      </c>
      <c r="F731" s="21"/>
      <c r="G731" s="15"/>
      <c r="H731" s="98">
        <f>H732</f>
        <v>0</v>
      </c>
      <c r="I731" s="98">
        <f>I732</f>
        <v>0</v>
      </c>
      <c r="J731" s="99" t="e">
        <f t="shared" si="29"/>
        <v>#DIV/0!</v>
      </c>
    </row>
    <row r="732" spans="1:10" ht="47.25" hidden="1">
      <c r="A732" s="20" t="s">
        <v>677</v>
      </c>
      <c r="B732" s="21" t="s">
        <v>118</v>
      </c>
      <c r="C732" s="21" t="s">
        <v>26</v>
      </c>
      <c r="D732" s="21" t="s">
        <v>19</v>
      </c>
      <c r="E732" s="21" t="s">
        <v>681</v>
      </c>
      <c r="F732" s="21" t="s">
        <v>112</v>
      </c>
      <c r="G732" s="15"/>
      <c r="H732" s="98"/>
      <c r="I732" s="98"/>
      <c r="J732" s="99" t="e">
        <f t="shared" si="29"/>
        <v>#DIV/0!</v>
      </c>
    </row>
    <row r="733" spans="1:10" ht="63">
      <c r="A733" s="20" t="s">
        <v>682</v>
      </c>
      <c r="B733" s="21" t="s">
        <v>118</v>
      </c>
      <c r="C733" s="21" t="s">
        <v>26</v>
      </c>
      <c r="D733" s="21" t="s">
        <v>19</v>
      </c>
      <c r="E733" s="21" t="s">
        <v>683</v>
      </c>
      <c r="F733" s="21"/>
      <c r="G733" s="15"/>
      <c r="H733" s="98">
        <f>H734</f>
        <v>626</v>
      </c>
      <c r="I733" s="98">
        <f>I734</f>
        <v>547.2126</v>
      </c>
      <c r="J733" s="99">
        <f t="shared" si="29"/>
        <v>87.41415335463259</v>
      </c>
    </row>
    <row r="734" spans="1:10" ht="47.25">
      <c r="A734" s="20" t="s">
        <v>677</v>
      </c>
      <c r="B734" s="21" t="s">
        <v>118</v>
      </c>
      <c r="C734" s="21" t="s">
        <v>26</v>
      </c>
      <c r="D734" s="21" t="s">
        <v>19</v>
      </c>
      <c r="E734" s="21" t="s">
        <v>683</v>
      </c>
      <c r="F734" s="21" t="s">
        <v>112</v>
      </c>
      <c r="G734" s="15"/>
      <c r="H734" s="98">
        <f>536+90</f>
        <v>626</v>
      </c>
      <c r="I734" s="98">
        <v>547.2126</v>
      </c>
      <c r="J734" s="99">
        <f t="shared" si="29"/>
        <v>87.41415335463259</v>
      </c>
    </row>
    <row r="735" spans="1:10" ht="110.25">
      <c r="A735" s="54" t="s">
        <v>570</v>
      </c>
      <c r="B735" s="21" t="s">
        <v>118</v>
      </c>
      <c r="C735" s="21" t="s">
        <v>26</v>
      </c>
      <c r="D735" s="21" t="s">
        <v>19</v>
      </c>
      <c r="E735" s="21" t="s">
        <v>571</v>
      </c>
      <c r="F735" s="21"/>
      <c r="G735" s="15"/>
      <c r="H735" s="98">
        <f>H736</f>
        <v>2223.587</v>
      </c>
      <c r="I735" s="98">
        <f>I736</f>
        <v>2223.587</v>
      </c>
      <c r="J735" s="99">
        <f t="shared" si="29"/>
        <v>100</v>
      </c>
    </row>
    <row r="736" spans="1:10" ht="47.25">
      <c r="A736" s="20" t="s">
        <v>114</v>
      </c>
      <c r="B736" s="21" t="s">
        <v>118</v>
      </c>
      <c r="C736" s="21" t="s">
        <v>26</v>
      </c>
      <c r="D736" s="21" t="s">
        <v>19</v>
      </c>
      <c r="E736" s="21" t="s">
        <v>571</v>
      </c>
      <c r="F736" s="21" t="s">
        <v>101</v>
      </c>
      <c r="G736" s="15"/>
      <c r="H736" s="99">
        <v>2223.587</v>
      </c>
      <c r="I736" s="99">
        <v>2223.587</v>
      </c>
      <c r="J736" s="99">
        <f t="shared" si="29"/>
        <v>100</v>
      </c>
    </row>
    <row r="737" spans="1:10" ht="15.75">
      <c r="A737" s="20" t="s">
        <v>34</v>
      </c>
      <c r="B737" s="21" t="s">
        <v>118</v>
      </c>
      <c r="C737" s="21" t="s">
        <v>20</v>
      </c>
      <c r="D737" s="21" t="s">
        <v>9</v>
      </c>
      <c r="E737" s="21"/>
      <c r="F737" s="21"/>
      <c r="G737" s="15" t="e">
        <f>#REF!+#REF!+#REF!</f>
        <v>#REF!</v>
      </c>
      <c r="H737" s="98">
        <f>H743+H738</f>
        <v>24436.3</v>
      </c>
      <c r="I737" s="98">
        <f>I743+I738</f>
        <v>24436.3</v>
      </c>
      <c r="J737" s="99">
        <f t="shared" si="29"/>
        <v>100</v>
      </c>
    </row>
    <row r="738" spans="1:10" ht="15.75">
      <c r="A738" s="20" t="s">
        <v>36</v>
      </c>
      <c r="B738" s="21" t="s">
        <v>118</v>
      </c>
      <c r="C738" s="21" t="s">
        <v>20</v>
      </c>
      <c r="D738" s="21" t="s">
        <v>10</v>
      </c>
      <c r="E738" s="21"/>
      <c r="F738" s="21"/>
      <c r="G738" s="15"/>
      <c r="H738" s="98">
        <f>+H739</f>
        <v>6.5</v>
      </c>
      <c r="I738" s="98">
        <f>+I739</f>
        <v>6.5</v>
      </c>
      <c r="J738" s="99">
        <f t="shared" si="29"/>
        <v>100</v>
      </c>
    </row>
    <row r="739" spans="1:10" ht="31.5">
      <c r="A739" s="20" t="s">
        <v>684</v>
      </c>
      <c r="B739" s="21" t="s">
        <v>118</v>
      </c>
      <c r="C739" s="21" t="s">
        <v>20</v>
      </c>
      <c r="D739" s="21" t="s">
        <v>10</v>
      </c>
      <c r="E739" s="21" t="s">
        <v>541</v>
      </c>
      <c r="F739" s="21"/>
      <c r="G739" s="15"/>
      <c r="H739" s="98">
        <f aca="true" t="shared" si="30" ref="H739:I741">H740</f>
        <v>6.5</v>
      </c>
      <c r="I739" s="98">
        <f t="shared" si="30"/>
        <v>6.5</v>
      </c>
      <c r="J739" s="99">
        <f t="shared" si="29"/>
        <v>100</v>
      </c>
    </row>
    <row r="740" spans="1:10" ht="47.25">
      <c r="A740" s="20" t="s">
        <v>647</v>
      </c>
      <c r="B740" s="21" t="s">
        <v>118</v>
      </c>
      <c r="C740" s="21" t="s">
        <v>20</v>
      </c>
      <c r="D740" s="21" t="s">
        <v>10</v>
      </c>
      <c r="E740" s="21" t="s">
        <v>648</v>
      </c>
      <c r="F740" s="21"/>
      <c r="G740" s="15"/>
      <c r="H740" s="98">
        <f t="shared" si="30"/>
        <v>6.5</v>
      </c>
      <c r="I740" s="98">
        <f t="shared" si="30"/>
        <v>6.5</v>
      </c>
      <c r="J740" s="99">
        <f t="shared" si="29"/>
        <v>100</v>
      </c>
    </row>
    <row r="741" spans="1:10" ht="47.25">
      <c r="A741" s="20" t="s">
        <v>685</v>
      </c>
      <c r="B741" s="21" t="s">
        <v>118</v>
      </c>
      <c r="C741" s="21" t="s">
        <v>20</v>
      </c>
      <c r="D741" s="21" t="s">
        <v>10</v>
      </c>
      <c r="E741" s="21" t="s">
        <v>686</v>
      </c>
      <c r="F741" s="21"/>
      <c r="G741" s="15"/>
      <c r="H741" s="98">
        <f t="shared" si="30"/>
        <v>6.5</v>
      </c>
      <c r="I741" s="98">
        <f t="shared" si="30"/>
        <v>6.5</v>
      </c>
      <c r="J741" s="99">
        <f t="shared" si="29"/>
        <v>100</v>
      </c>
    </row>
    <row r="742" spans="1:10" ht="31.5">
      <c r="A742" s="20" t="s">
        <v>141</v>
      </c>
      <c r="B742" s="21" t="s">
        <v>118</v>
      </c>
      <c r="C742" s="21" t="s">
        <v>20</v>
      </c>
      <c r="D742" s="21" t="s">
        <v>10</v>
      </c>
      <c r="E742" s="21" t="s">
        <v>686</v>
      </c>
      <c r="F742" s="21" t="s">
        <v>104</v>
      </c>
      <c r="G742" s="15"/>
      <c r="H742" s="98">
        <v>6.5</v>
      </c>
      <c r="I742" s="98">
        <v>6.5</v>
      </c>
      <c r="J742" s="99">
        <f t="shared" si="29"/>
        <v>100</v>
      </c>
    </row>
    <row r="743" spans="1:10" ht="15.75">
      <c r="A743" s="20" t="s">
        <v>58</v>
      </c>
      <c r="B743" s="21" t="s">
        <v>118</v>
      </c>
      <c r="C743" s="21" t="s">
        <v>20</v>
      </c>
      <c r="D743" s="21" t="s">
        <v>12</v>
      </c>
      <c r="E743" s="21"/>
      <c r="F743" s="21"/>
      <c r="G743" s="15" t="e">
        <f>#REF!+#REF!+#REF!</f>
        <v>#REF!</v>
      </c>
      <c r="H743" s="98">
        <f>+H744</f>
        <v>24429.8</v>
      </c>
      <c r="I743" s="98">
        <f>+I744</f>
        <v>24429.8</v>
      </c>
      <c r="J743" s="99">
        <f t="shared" si="29"/>
        <v>100</v>
      </c>
    </row>
    <row r="744" spans="1:10" ht="31.5">
      <c r="A744" s="54" t="s">
        <v>687</v>
      </c>
      <c r="B744" s="21" t="s">
        <v>118</v>
      </c>
      <c r="C744" s="21">
        <v>10</v>
      </c>
      <c r="D744" s="21" t="s">
        <v>12</v>
      </c>
      <c r="E744" s="21" t="s">
        <v>545</v>
      </c>
      <c r="F744" s="21"/>
      <c r="G744" s="15"/>
      <c r="H744" s="98">
        <f>H745</f>
        <v>24429.8</v>
      </c>
      <c r="I744" s="98">
        <f>I745</f>
        <v>24429.8</v>
      </c>
      <c r="J744" s="99">
        <f t="shared" si="29"/>
        <v>100</v>
      </c>
    </row>
    <row r="745" spans="1:10" ht="63">
      <c r="A745" s="54" t="s">
        <v>688</v>
      </c>
      <c r="B745" s="21" t="s">
        <v>118</v>
      </c>
      <c r="C745" s="21">
        <v>10</v>
      </c>
      <c r="D745" s="21" t="s">
        <v>12</v>
      </c>
      <c r="E745" s="21" t="s">
        <v>689</v>
      </c>
      <c r="F745" s="21"/>
      <c r="G745" s="15"/>
      <c r="H745" s="98">
        <f>H746+H747</f>
        <v>24429.8</v>
      </c>
      <c r="I745" s="98">
        <f>I746+I747</f>
        <v>24429.8</v>
      </c>
      <c r="J745" s="99">
        <f t="shared" si="29"/>
        <v>100</v>
      </c>
    </row>
    <row r="746" spans="1:10" ht="15.75">
      <c r="A746" s="20" t="s">
        <v>215</v>
      </c>
      <c r="B746" s="21" t="s">
        <v>118</v>
      </c>
      <c r="C746" s="21">
        <v>10</v>
      </c>
      <c r="D746" s="21" t="s">
        <v>12</v>
      </c>
      <c r="E746" s="21" t="s">
        <v>689</v>
      </c>
      <c r="F746" s="21" t="s">
        <v>90</v>
      </c>
      <c r="G746" s="15"/>
      <c r="H746" s="99">
        <v>59</v>
      </c>
      <c r="I746" s="99">
        <v>59</v>
      </c>
      <c r="J746" s="99">
        <f t="shared" si="29"/>
        <v>100</v>
      </c>
    </row>
    <row r="747" spans="1:10" ht="31.5">
      <c r="A747" s="20" t="s">
        <v>141</v>
      </c>
      <c r="B747" s="21" t="s">
        <v>118</v>
      </c>
      <c r="C747" s="21">
        <v>10</v>
      </c>
      <c r="D747" s="21" t="s">
        <v>12</v>
      </c>
      <c r="E747" s="21" t="s">
        <v>689</v>
      </c>
      <c r="F747" s="21" t="s">
        <v>104</v>
      </c>
      <c r="G747" s="15"/>
      <c r="H747" s="99">
        <v>24370.8</v>
      </c>
      <c r="I747" s="99">
        <v>24370.8</v>
      </c>
      <c r="J747" s="99">
        <f t="shared" si="29"/>
        <v>100</v>
      </c>
    </row>
    <row r="748" spans="1:10" ht="15.75">
      <c r="A748" s="31"/>
      <c r="B748" s="38"/>
      <c r="C748" s="39"/>
      <c r="D748" s="38"/>
      <c r="E748" s="38"/>
      <c r="F748" s="38"/>
      <c r="G748" s="32"/>
      <c r="H748" s="107"/>
      <c r="I748" s="107"/>
      <c r="J748" s="32"/>
    </row>
    <row r="749" spans="1:10" ht="15.75">
      <c r="A749" s="37"/>
      <c r="B749" s="28"/>
      <c r="C749" s="40"/>
      <c r="D749" s="28"/>
      <c r="E749" s="28"/>
      <c r="F749" s="28"/>
      <c r="G749" s="32"/>
      <c r="H749" s="103"/>
      <c r="I749" s="103"/>
      <c r="J749" s="29"/>
    </row>
    <row r="750" spans="1:10" ht="31.5">
      <c r="A750" s="35" t="s">
        <v>171</v>
      </c>
      <c r="B750" s="21" t="s">
        <v>119</v>
      </c>
      <c r="C750" s="17" t="s">
        <v>9</v>
      </c>
      <c r="D750" s="17" t="s">
        <v>9</v>
      </c>
      <c r="E750" s="21"/>
      <c r="F750" s="21"/>
      <c r="G750" s="19" t="e">
        <f>#REF!+#REF!+#REF!</f>
        <v>#REF!</v>
      </c>
      <c r="H750" s="98">
        <f>H751+H781+H799+H793</f>
        <v>200753.83299</v>
      </c>
      <c r="I750" s="98">
        <f>I751+I781+I799+I793</f>
        <v>198838.47626999998</v>
      </c>
      <c r="J750" s="99">
        <f aca="true" t="shared" si="31" ref="J750:J813">I750/H750*100</f>
        <v>99.04591773343854</v>
      </c>
    </row>
    <row r="751" spans="1:10" ht="15.75">
      <c r="A751" s="20" t="s">
        <v>7</v>
      </c>
      <c r="B751" s="21" t="s">
        <v>119</v>
      </c>
      <c r="C751" s="21" t="s">
        <v>8</v>
      </c>
      <c r="D751" s="21" t="s">
        <v>9</v>
      </c>
      <c r="E751" s="21"/>
      <c r="F751" s="21"/>
      <c r="G751" s="15" t="e">
        <f>#REF!+#REF!+#REF!</f>
        <v>#REF!</v>
      </c>
      <c r="H751" s="98">
        <f>H752+H774</f>
        <v>14362.60966</v>
      </c>
      <c r="I751" s="98">
        <f>I752+I774</f>
        <v>13622.74683</v>
      </c>
      <c r="J751" s="99">
        <f t="shared" si="31"/>
        <v>94.84868803431647</v>
      </c>
    </row>
    <row r="752" spans="1:10" ht="31.5">
      <c r="A752" s="20" t="s">
        <v>56</v>
      </c>
      <c r="B752" s="21" t="s">
        <v>119</v>
      </c>
      <c r="C752" s="21" t="s">
        <v>8</v>
      </c>
      <c r="D752" s="21" t="s">
        <v>13</v>
      </c>
      <c r="E752" s="21"/>
      <c r="F752" s="21"/>
      <c r="G752" s="15" t="e">
        <f>#REF!+#REF!+#REF!</f>
        <v>#REF!</v>
      </c>
      <c r="H752" s="98">
        <f>H753</f>
        <v>9407</v>
      </c>
      <c r="I752" s="98">
        <f>I753</f>
        <v>9128.13083</v>
      </c>
      <c r="J752" s="99">
        <f t="shared" si="31"/>
        <v>97.03551429786329</v>
      </c>
    </row>
    <row r="753" spans="1:10" ht="31.5">
      <c r="A753" s="20" t="s">
        <v>690</v>
      </c>
      <c r="B753" s="21" t="s">
        <v>119</v>
      </c>
      <c r="C753" s="21" t="s">
        <v>8</v>
      </c>
      <c r="D753" s="21" t="s">
        <v>13</v>
      </c>
      <c r="E753" s="21" t="s">
        <v>691</v>
      </c>
      <c r="F753" s="21"/>
      <c r="G753" s="15" t="e">
        <f>#REF!+#REF!+#REF!</f>
        <v>#REF!</v>
      </c>
      <c r="H753" s="98">
        <f>H754</f>
        <v>9407</v>
      </c>
      <c r="I753" s="98">
        <f>I754</f>
        <v>9128.13083</v>
      </c>
      <c r="J753" s="99">
        <f t="shared" si="31"/>
        <v>97.03551429786329</v>
      </c>
    </row>
    <row r="754" spans="1:10" ht="47.25">
      <c r="A754" s="20" t="s">
        <v>692</v>
      </c>
      <c r="B754" s="21" t="s">
        <v>119</v>
      </c>
      <c r="C754" s="21" t="s">
        <v>8</v>
      </c>
      <c r="D754" s="21" t="s">
        <v>13</v>
      </c>
      <c r="E754" s="21" t="s">
        <v>693</v>
      </c>
      <c r="F754" s="21"/>
      <c r="G754" s="15" t="e">
        <f>#REF!+#REF!+#REF!</f>
        <v>#REF!</v>
      </c>
      <c r="H754" s="98">
        <f>H755+H771</f>
        <v>9407</v>
      </c>
      <c r="I754" s="98">
        <f>I755+I771</f>
        <v>9128.13083</v>
      </c>
      <c r="J754" s="99">
        <f t="shared" si="31"/>
        <v>97.03551429786329</v>
      </c>
    </row>
    <row r="755" spans="1:10" ht="47.25">
      <c r="A755" s="20" t="s">
        <v>694</v>
      </c>
      <c r="B755" s="21" t="s">
        <v>119</v>
      </c>
      <c r="C755" s="21" t="s">
        <v>8</v>
      </c>
      <c r="D755" s="21" t="s">
        <v>13</v>
      </c>
      <c r="E755" s="21" t="s">
        <v>695</v>
      </c>
      <c r="F755" s="21"/>
      <c r="G755" s="15"/>
      <c r="H755" s="98">
        <f>H756+H762</f>
        <v>9307</v>
      </c>
      <c r="I755" s="98">
        <f>I756+I762</f>
        <v>9128.13083</v>
      </c>
      <c r="J755" s="99">
        <f t="shared" si="31"/>
        <v>98.07812216611153</v>
      </c>
    </row>
    <row r="756" spans="1:10" ht="47.25">
      <c r="A756" s="20" t="s">
        <v>696</v>
      </c>
      <c r="B756" s="21" t="s">
        <v>119</v>
      </c>
      <c r="C756" s="21" t="s">
        <v>8</v>
      </c>
      <c r="D756" s="21" t="s">
        <v>13</v>
      </c>
      <c r="E756" s="21" t="s">
        <v>697</v>
      </c>
      <c r="F756" s="21"/>
      <c r="G756" s="15"/>
      <c r="H756" s="98">
        <f>H757</f>
        <v>8265</v>
      </c>
      <c r="I756" s="98">
        <f>I757</f>
        <v>8182.67329</v>
      </c>
      <c r="J756" s="99">
        <f t="shared" si="31"/>
        <v>99.00391155474894</v>
      </c>
    </row>
    <row r="757" spans="1:10" ht="15.75">
      <c r="A757" s="20" t="s">
        <v>82</v>
      </c>
      <c r="B757" s="21" t="s">
        <v>119</v>
      </c>
      <c r="C757" s="21" t="s">
        <v>8</v>
      </c>
      <c r="D757" s="21" t="s">
        <v>13</v>
      </c>
      <c r="E757" s="21" t="s">
        <v>697</v>
      </c>
      <c r="F757" s="21" t="s">
        <v>81</v>
      </c>
      <c r="G757" s="15"/>
      <c r="H757" s="98">
        <f>H758+H759+H760+H761</f>
        <v>8265</v>
      </c>
      <c r="I757" s="98">
        <f>I758+I759+I760+I761</f>
        <v>8182.67329</v>
      </c>
      <c r="J757" s="99">
        <f t="shared" si="31"/>
        <v>99.00391155474894</v>
      </c>
    </row>
    <row r="758" spans="1:10" ht="15.75">
      <c r="A758" s="20" t="s">
        <v>191</v>
      </c>
      <c r="B758" s="21" t="s">
        <v>119</v>
      </c>
      <c r="C758" s="21" t="s">
        <v>8</v>
      </c>
      <c r="D758" s="21" t="s">
        <v>13</v>
      </c>
      <c r="E758" s="21" t="s">
        <v>697</v>
      </c>
      <c r="F758" s="21" t="s">
        <v>83</v>
      </c>
      <c r="G758" s="15"/>
      <c r="H758" s="98">
        <v>6348</v>
      </c>
      <c r="I758" s="98">
        <v>6308.8685</v>
      </c>
      <c r="J758" s="99">
        <f t="shared" si="31"/>
        <v>99.38356175173281</v>
      </c>
    </row>
    <row r="759" spans="1:10" ht="15.75" hidden="1">
      <c r="A759" s="20" t="s">
        <v>86</v>
      </c>
      <c r="B759" s="21" t="s">
        <v>119</v>
      </c>
      <c r="C759" s="21" t="s">
        <v>8</v>
      </c>
      <c r="D759" s="21" t="s">
        <v>13</v>
      </c>
      <c r="E759" s="21" t="s">
        <v>697</v>
      </c>
      <c r="F759" s="21" t="s">
        <v>85</v>
      </c>
      <c r="G759" s="15"/>
      <c r="H759" s="98"/>
      <c r="I759" s="98"/>
      <c r="J759" s="99" t="e">
        <f t="shared" si="31"/>
        <v>#DIV/0!</v>
      </c>
    </row>
    <row r="760" spans="1:10" ht="47.25" hidden="1">
      <c r="A760" s="20" t="s">
        <v>128</v>
      </c>
      <c r="B760" s="21" t="s">
        <v>119</v>
      </c>
      <c r="C760" s="21" t="s">
        <v>8</v>
      </c>
      <c r="D760" s="21" t="s">
        <v>13</v>
      </c>
      <c r="E760" s="21" t="s">
        <v>697</v>
      </c>
      <c r="F760" s="21" t="s">
        <v>127</v>
      </c>
      <c r="G760" s="15"/>
      <c r="H760" s="98"/>
      <c r="I760" s="98"/>
      <c r="J760" s="99" t="e">
        <f t="shared" si="31"/>
        <v>#DIV/0!</v>
      </c>
    </row>
    <row r="761" spans="1:10" ht="31.5">
      <c r="A761" s="20" t="s">
        <v>192</v>
      </c>
      <c r="B761" s="21" t="s">
        <v>119</v>
      </c>
      <c r="C761" s="21" t="s">
        <v>8</v>
      </c>
      <c r="D761" s="21" t="s">
        <v>13</v>
      </c>
      <c r="E761" s="21" t="s">
        <v>697</v>
      </c>
      <c r="F761" s="21" t="s">
        <v>193</v>
      </c>
      <c r="G761" s="15"/>
      <c r="H761" s="98">
        <v>1917</v>
      </c>
      <c r="I761" s="98">
        <v>1873.80479</v>
      </c>
      <c r="J761" s="99">
        <f t="shared" si="31"/>
        <v>97.74672874282733</v>
      </c>
    </row>
    <row r="762" spans="1:10" ht="47.25">
      <c r="A762" s="20" t="s">
        <v>698</v>
      </c>
      <c r="B762" s="21" t="s">
        <v>119</v>
      </c>
      <c r="C762" s="21" t="s">
        <v>8</v>
      </c>
      <c r="D762" s="21" t="s">
        <v>13</v>
      </c>
      <c r="E762" s="21" t="s">
        <v>699</v>
      </c>
      <c r="F762" s="21"/>
      <c r="G762" s="15"/>
      <c r="H762" s="98">
        <f>H765+H768+H763</f>
        <v>1042</v>
      </c>
      <c r="I762" s="98">
        <f>I765+I768+I763</f>
        <v>945.45754</v>
      </c>
      <c r="J762" s="99">
        <f t="shared" si="31"/>
        <v>90.73488867562381</v>
      </c>
    </row>
    <row r="763" spans="1:10" ht="15.75">
      <c r="A763" s="20" t="s">
        <v>82</v>
      </c>
      <c r="B763" s="21" t="s">
        <v>119</v>
      </c>
      <c r="C763" s="21" t="s">
        <v>8</v>
      </c>
      <c r="D763" s="21" t="s">
        <v>13</v>
      </c>
      <c r="E763" s="21" t="s">
        <v>699</v>
      </c>
      <c r="F763" s="21" t="s">
        <v>81</v>
      </c>
      <c r="G763" s="15"/>
      <c r="H763" s="98">
        <f>H764</f>
        <v>320</v>
      </c>
      <c r="I763" s="98">
        <f>I764</f>
        <v>301.481</v>
      </c>
      <c r="J763" s="99">
        <f t="shared" si="31"/>
        <v>94.2128125</v>
      </c>
    </row>
    <row r="764" spans="1:10" ht="31.5">
      <c r="A764" s="20" t="s">
        <v>138</v>
      </c>
      <c r="B764" s="21" t="s">
        <v>119</v>
      </c>
      <c r="C764" s="21" t="s">
        <v>8</v>
      </c>
      <c r="D764" s="21" t="s">
        <v>13</v>
      </c>
      <c r="E764" s="21" t="s">
        <v>699</v>
      </c>
      <c r="F764" s="21" t="s">
        <v>85</v>
      </c>
      <c r="G764" s="15"/>
      <c r="H764" s="98">
        <v>320</v>
      </c>
      <c r="I764" s="98">
        <v>301.481</v>
      </c>
      <c r="J764" s="99">
        <f t="shared" si="31"/>
        <v>94.2128125</v>
      </c>
    </row>
    <row r="765" spans="1:10" ht="15.75">
      <c r="A765" s="20" t="s">
        <v>88</v>
      </c>
      <c r="B765" s="21" t="s">
        <v>119</v>
      </c>
      <c r="C765" s="21" t="s">
        <v>8</v>
      </c>
      <c r="D765" s="21" t="s">
        <v>13</v>
      </c>
      <c r="E765" s="21" t="s">
        <v>699</v>
      </c>
      <c r="F765" s="21" t="s">
        <v>87</v>
      </c>
      <c r="G765" s="15"/>
      <c r="H765" s="98">
        <f>H766+H767</f>
        <v>699</v>
      </c>
      <c r="I765" s="98">
        <f>I766+I767</f>
        <v>638.13154</v>
      </c>
      <c r="J765" s="99">
        <f t="shared" si="31"/>
        <v>91.29206580829756</v>
      </c>
    </row>
    <row r="766" spans="1:10" ht="31.5">
      <c r="A766" s="20" t="s">
        <v>92</v>
      </c>
      <c r="B766" s="21" t="s">
        <v>119</v>
      </c>
      <c r="C766" s="21" t="s">
        <v>8</v>
      </c>
      <c r="D766" s="21" t="s">
        <v>13</v>
      </c>
      <c r="E766" s="21" t="s">
        <v>699</v>
      </c>
      <c r="F766" s="21" t="s">
        <v>89</v>
      </c>
      <c r="G766" s="15"/>
      <c r="H766" s="98">
        <v>456.93155</v>
      </c>
      <c r="I766" s="98">
        <v>440.58018</v>
      </c>
      <c r="J766" s="99">
        <f t="shared" si="31"/>
        <v>96.4214836992543</v>
      </c>
    </row>
    <row r="767" spans="1:10" ht="15.75">
      <c r="A767" s="20" t="s">
        <v>215</v>
      </c>
      <c r="B767" s="21" t="s">
        <v>119</v>
      </c>
      <c r="C767" s="21" t="s">
        <v>8</v>
      </c>
      <c r="D767" s="21" t="s">
        <v>13</v>
      </c>
      <c r="E767" s="21" t="s">
        <v>699</v>
      </c>
      <c r="F767" s="21" t="s">
        <v>90</v>
      </c>
      <c r="G767" s="15"/>
      <c r="H767" s="98">
        <v>242.06845</v>
      </c>
      <c r="I767" s="98">
        <v>197.55136</v>
      </c>
      <c r="J767" s="99">
        <f t="shared" si="31"/>
        <v>81.60970998079262</v>
      </c>
    </row>
    <row r="768" spans="1:10" ht="15.75">
      <c r="A768" s="20" t="s">
        <v>93</v>
      </c>
      <c r="B768" s="21" t="s">
        <v>119</v>
      </c>
      <c r="C768" s="21" t="s">
        <v>8</v>
      </c>
      <c r="D768" s="21" t="s">
        <v>13</v>
      </c>
      <c r="E768" s="21" t="s">
        <v>699</v>
      </c>
      <c r="F768" s="21" t="s">
        <v>94</v>
      </c>
      <c r="G768" s="15"/>
      <c r="H768" s="98">
        <f>H769+H770</f>
        <v>23</v>
      </c>
      <c r="I768" s="98">
        <f>I769+I770</f>
        <v>5.845</v>
      </c>
      <c r="J768" s="99">
        <f t="shared" si="31"/>
        <v>25.413043478260867</v>
      </c>
    </row>
    <row r="769" spans="1:10" ht="15.75">
      <c r="A769" s="20" t="s">
        <v>97</v>
      </c>
      <c r="B769" s="21" t="s">
        <v>119</v>
      </c>
      <c r="C769" s="21" t="s">
        <v>8</v>
      </c>
      <c r="D769" s="21" t="s">
        <v>13</v>
      </c>
      <c r="E769" s="21" t="s">
        <v>699</v>
      </c>
      <c r="F769" s="21" t="s">
        <v>95</v>
      </c>
      <c r="G769" s="15"/>
      <c r="H769" s="98">
        <v>13</v>
      </c>
      <c r="I769" s="98">
        <v>1.337</v>
      </c>
      <c r="J769" s="99">
        <f t="shared" si="31"/>
        <v>10.284615384615384</v>
      </c>
    </row>
    <row r="770" spans="1:10" ht="15.75">
      <c r="A770" s="20" t="s">
        <v>233</v>
      </c>
      <c r="B770" s="21" t="s">
        <v>119</v>
      </c>
      <c r="C770" s="21" t="s">
        <v>8</v>
      </c>
      <c r="D770" s="21" t="s">
        <v>13</v>
      </c>
      <c r="E770" s="21" t="s">
        <v>699</v>
      </c>
      <c r="F770" s="21" t="s">
        <v>96</v>
      </c>
      <c r="G770" s="15"/>
      <c r="H770" s="98">
        <v>10</v>
      </c>
      <c r="I770" s="98">
        <v>4.508</v>
      </c>
      <c r="J770" s="99">
        <f t="shared" si="31"/>
        <v>45.08</v>
      </c>
    </row>
    <row r="771" spans="1:10" ht="47.25">
      <c r="A771" s="20" t="s">
        <v>700</v>
      </c>
      <c r="B771" s="21" t="s">
        <v>119</v>
      </c>
      <c r="C771" s="21" t="s">
        <v>8</v>
      </c>
      <c r="D771" s="21" t="s">
        <v>13</v>
      </c>
      <c r="E771" s="21" t="s">
        <v>701</v>
      </c>
      <c r="F771" s="21"/>
      <c r="G771" s="15"/>
      <c r="H771" s="98">
        <f>H772+H773</f>
        <v>100</v>
      </c>
      <c r="I771" s="98">
        <f>I772+I773</f>
        <v>0</v>
      </c>
      <c r="J771" s="99">
        <f t="shared" si="31"/>
        <v>0</v>
      </c>
    </row>
    <row r="772" spans="1:10" ht="31.5">
      <c r="A772" s="20" t="s">
        <v>138</v>
      </c>
      <c r="B772" s="21" t="s">
        <v>119</v>
      </c>
      <c r="C772" s="21" t="s">
        <v>8</v>
      </c>
      <c r="D772" s="21" t="s">
        <v>13</v>
      </c>
      <c r="E772" s="21" t="s">
        <v>701</v>
      </c>
      <c r="F772" s="21" t="s">
        <v>85</v>
      </c>
      <c r="G772" s="15"/>
      <c r="H772" s="98">
        <v>7</v>
      </c>
      <c r="I772" s="98"/>
      <c r="J772" s="99">
        <f t="shared" si="31"/>
        <v>0</v>
      </c>
    </row>
    <row r="773" spans="1:10" ht="15.75">
      <c r="A773" s="20" t="s">
        <v>140</v>
      </c>
      <c r="B773" s="21" t="s">
        <v>119</v>
      </c>
      <c r="C773" s="21" t="s">
        <v>8</v>
      </c>
      <c r="D773" s="21" t="s">
        <v>13</v>
      </c>
      <c r="E773" s="21" t="s">
        <v>701</v>
      </c>
      <c r="F773" s="21" t="s">
        <v>90</v>
      </c>
      <c r="G773" s="15"/>
      <c r="H773" s="98">
        <v>93</v>
      </c>
      <c r="I773" s="98"/>
      <c r="J773" s="99">
        <f t="shared" si="31"/>
        <v>0</v>
      </c>
    </row>
    <row r="774" spans="1:10" ht="15.75">
      <c r="A774" s="20" t="s">
        <v>17</v>
      </c>
      <c r="B774" s="21" t="s">
        <v>119</v>
      </c>
      <c r="C774" s="21" t="s">
        <v>8</v>
      </c>
      <c r="D774" s="21" t="s">
        <v>70</v>
      </c>
      <c r="E774" s="21"/>
      <c r="F774" s="21"/>
      <c r="G774" s="15" t="e">
        <f>#REF!+#REF!+#REF!</f>
        <v>#REF!</v>
      </c>
      <c r="H774" s="98">
        <f aca="true" t="shared" si="32" ref="H774:I776">H775</f>
        <v>4955.60966</v>
      </c>
      <c r="I774" s="98">
        <f t="shared" si="32"/>
        <v>4494.616</v>
      </c>
      <c r="J774" s="99">
        <f t="shared" si="31"/>
        <v>90.69753891794618</v>
      </c>
    </row>
    <row r="775" spans="1:10" ht="31.5">
      <c r="A775" s="20" t="s">
        <v>690</v>
      </c>
      <c r="B775" s="21" t="s">
        <v>119</v>
      </c>
      <c r="C775" s="21" t="s">
        <v>8</v>
      </c>
      <c r="D775" s="21" t="s">
        <v>70</v>
      </c>
      <c r="E775" s="21" t="s">
        <v>691</v>
      </c>
      <c r="F775" s="21"/>
      <c r="G775" s="15"/>
      <c r="H775" s="98">
        <f t="shared" si="32"/>
        <v>4955.60966</v>
      </c>
      <c r="I775" s="98">
        <f t="shared" si="32"/>
        <v>4494.616</v>
      </c>
      <c r="J775" s="99">
        <f t="shared" si="31"/>
        <v>90.69753891794618</v>
      </c>
    </row>
    <row r="776" spans="1:10" ht="31.5">
      <c r="A776" s="20" t="s">
        <v>702</v>
      </c>
      <c r="B776" s="21" t="s">
        <v>119</v>
      </c>
      <c r="C776" s="21" t="s">
        <v>8</v>
      </c>
      <c r="D776" s="21" t="s">
        <v>70</v>
      </c>
      <c r="E776" s="21" t="s">
        <v>703</v>
      </c>
      <c r="F776" s="21"/>
      <c r="G776" s="15"/>
      <c r="H776" s="98">
        <f t="shared" si="32"/>
        <v>4955.60966</v>
      </c>
      <c r="I776" s="98">
        <f t="shared" si="32"/>
        <v>4494.616</v>
      </c>
      <c r="J776" s="99">
        <f t="shared" si="31"/>
        <v>90.69753891794618</v>
      </c>
    </row>
    <row r="777" spans="1:10" ht="31.5">
      <c r="A777" s="20" t="s">
        <v>704</v>
      </c>
      <c r="B777" s="21" t="s">
        <v>119</v>
      </c>
      <c r="C777" s="21" t="s">
        <v>8</v>
      </c>
      <c r="D777" s="21" t="s">
        <v>70</v>
      </c>
      <c r="E777" s="21" t="s">
        <v>705</v>
      </c>
      <c r="F777" s="21"/>
      <c r="G777" s="15"/>
      <c r="H777" s="98">
        <f>H778+H779</f>
        <v>4955.60966</v>
      </c>
      <c r="I777" s="98">
        <f>I778+I779</f>
        <v>4494.616</v>
      </c>
      <c r="J777" s="99">
        <f t="shared" si="31"/>
        <v>90.69753891794618</v>
      </c>
    </row>
    <row r="778" spans="1:10" ht="78.75">
      <c r="A778" s="20" t="s">
        <v>706</v>
      </c>
      <c r="B778" s="21" t="s">
        <v>119</v>
      </c>
      <c r="C778" s="21" t="s">
        <v>8</v>
      </c>
      <c r="D778" s="21" t="s">
        <v>70</v>
      </c>
      <c r="E778" s="21" t="s">
        <v>705</v>
      </c>
      <c r="F778" s="21" t="s">
        <v>134</v>
      </c>
      <c r="G778" s="15"/>
      <c r="H778" s="98">
        <f>10000-0.39049-2620-148.019-57.64726-1799.616-97-190.99949-129.166-1.5521</f>
        <v>4955.60966</v>
      </c>
      <c r="I778" s="98">
        <v>4494.616</v>
      </c>
      <c r="J778" s="99">
        <f t="shared" si="31"/>
        <v>90.69753891794618</v>
      </c>
    </row>
    <row r="779" spans="1:10" ht="15.75" hidden="1">
      <c r="A779" s="20" t="s">
        <v>707</v>
      </c>
      <c r="B779" s="21" t="s">
        <v>119</v>
      </c>
      <c r="C779" s="21" t="s">
        <v>8</v>
      </c>
      <c r="D779" s="21" t="s">
        <v>70</v>
      </c>
      <c r="E779" s="21" t="s">
        <v>708</v>
      </c>
      <c r="F779" s="21"/>
      <c r="G779" s="15"/>
      <c r="H779" s="98">
        <f>H780</f>
        <v>0</v>
      </c>
      <c r="I779" s="98">
        <f>I780</f>
        <v>0</v>
      </c>
      <c r="J779" s="99" t="e">
        <f t="shared" si="31"/>
        <v>#DIV/0!</v>
      </c>
    </row>
    <row r="780" spans="1:10" ht="15.75" hidden="1">
      <c r="A780" s="20" t="s">
        <v>99</v>
      </c>
      <c r="B780" s="21" t="s">
        <v>119</v>
      </c>
      <c r="C780" s="21" t="s">
        <v>8</v>
      </c>
      <c r="D780" s="21" t="s">
        <v>70</v>
      </c>
      <c r="E780" s="21" t="s">
        <v>708</v>
      </c>
      <c r="F780" s="21" t="s">
        <v>98</v>
      </c>
      <c r="G780" s="15"/>
      <c r="H780" s="98">
        <f>21807.06528-19723.82151-2083.24377</f>
        <v>0</v>
      </c>
      <c r="I780" s="98">
        <f>21807.06528-19723.82151-2083.24377</f>
        <v>0</v>
      </c>
      <c r="J780" s="99" t="e">
        <f t="shared" si="31"/>
        <v>#DIV/0!</v>
      </c>
    </row>
    <row r="781" spans="1:10" ht="15.75">
      <c r="A781" s="20" t="s">
        <v>21</v>
      </c>
      <c r="B781" s="21" t="s">
        <v>119</v>
      </c>
      <c r="C781" s="21" t="s">
        <v>22</v>
      </c>
      <c r="D781" s="21" t="s">
        <v>9</v>
      </c>
      <c r="E781" s="21"/>
      <c r="F781" s="21"/>
      <c r="G781" s="15" t="e">
        <f>#REF!+#REF!+#REF!</f>
        <v>#REF!</v>
      </c>
      <c r="H781" s="98">
        <f>H782</f>
        <v>79201.79083</v>
      </c>
      <c r="I781" s="98">
        <f>I782</f>
        <v>79201.08016</v>
      </c>
      <c r="J781" s="99">
        <f t="shared" si="31"/>
        <v>99.999102709683</v>
      </c>
    </row>
    <row r="782" spans="1:10" ht="15.75">
      <c r="A782" s="20" t="s">
        <v>24</v>
      </c>
      <c r="B782" s="21" t="s">
        <v>119</v>
      </c>
      <c r="C782" s="21" t="s">
        <v>22</v>
      </c>
      <c r="D782" s="21" t="s">
        <v>18</v>
      </c>
      <c r="E782" s="21"/>
      <c r="F782" s="21"/>
      <c r="G782" s="15" t="e">
        <f>#REF!+#REF!+#REF!</f>
        <v>#REF!</v>
      </c>
      <c r="H782" s="99">
        <f>H786+H783</f>
        <v>79201.79083</v>
      </c>
      <c r="I782" s="99">
        <f>I786+I783</f>
        <v>79201.08016</v>
      </c>
      <c r="J782" s="99">
        <f t="shared" si="31"/>
        <v>99.999102709683</v>
      </c>
    </row>
    <row r="783" spans="1:10" ht="31.5">
      <c r="A783" s="78" t="s">
        <v>709</v>
      </c>
      <c r="B783" s="21" t="s">
        <v>119</v>
      </c>
      <c r="C783" s="21" t="s">
        <v>22</v>
      </c>
      <c r="D783" s="21" t="s">
        <v>18</v>
      </c>
      <c r="E783" s="21" t="s">
        <v>710</v>
      </c>
      <c r="F783" s="21"/>
      <c r="G783" s="15"/>
      <c r="H783" s="99">
        <f>H784</f>
        <v>71623.79083</v>
      </c>
      <c r="I783" s="99">
        <f>I784</f>
        <v>71623.79083</v>
      </c>
      <c r="J783" s="99">
        <f t="shared" si="31"/>
        <v>100</v>
      </c>
    </row>
    <row r="784" spans="1:10" ht="63">
      <c r="A784" s="78" t="s">
        <v>711</v>
      </c>
      <c r="B784" s="21" t="s">
        <v>119</v>
      </c>
      <c r="C784" s="21" t="s">
        <v>22</v>
      </c>
      <c r="D784" s="21" t="s">
        <v>18</v>
      </c>
      <c r="E784" s="21" t="s">
        <v>712</v>
      </c>
      <c r="F784" s="21"/>
      <c r="G784" s="15"/>
      <c r="H784" s="99">
        <f>H785</f>
        <v>71623.79083</v>
      </c>
      <c r="I784" s="99">
        <f>I785</f>
        <v>71623.79083</v>
      </c>
      <c r="J784" s="99">
        <f t="shared" si="31"/>
        <v>100</v>
      </c>
    </row>
    <row r="785" spans="1:10" ht="47.25">
      <c r="A785" s="20" t="s">
        <v>269</v>
      </c>
      <c r="B785" s="21" t="s">
        <v>119</v>
      </c>
      <c r="C785" s="21" t="s">
        <v>22</v>
      </c>
      <c r="D785" s="21" t="s">
        <v>18</v>
      </c>
      <c r="E785" s="21" t="s">
        <v>712</v>
      </c>
      <c r="F785" s="21" t="s">
        <v>110</v>
      </c>
      <c r="G785" s="15"/>
      <c r="H785" s="99">
        <f>61868.6901+9755.10073</f>
        <v>71623.79083</v>
      </c>
      <c r="I785" s="99">
        <f>61868.6901+9755.10073</f>
        <v>71623.79083</v>
      </c>
      <c r="J785" s="99">
        <f t="shared" si="31"/>
        <v>100</v>
      </c>
    </row>
    <row r="786" spans="1:10" ht="47.25">
      <c r="A786" s="20" t="s">
        <v>328</v>
      </c>
      <c r="B786" s="21" t="s">
        <v>119</v>
      </c>
      <c r="C786" s="21" t="s">
        <v>22</v>
      </c>
      <c r="D786" s="21" t="s">
        <v>18</v>
      </c>
      <c r="E786" s="21" t="s">
        <v>329</v>
      </c>
      <c r="F786" s="21"/>
      <c r="G786" s="15" t="e">
        <f>#REF!+#REF!+#REF!</f>
        <v>#REF!</v>
      </c>
      <c r="H786" s="98">
        <f aca="true" t="shared" si="33" ref="H786:I789">H787</f>
        <v>7578</v>
      </c>
      <c r="I786" s="98">
        <f t="shared" si="33"/>
        <v>7577.28933</v>
      </c>
      <c r="J786" s="99">
        <f t="shared" si="31"/>
        <v>99.99062193190815</v>
      </c>
    </row>
    <row r="787" spans="1:10" ht="31.5">
      <c r="A787" s="20" t="s">
        <v>344</v>
      </c>
      <c r="B787" s="21" t="s">
        <v>119</v>
      </c>
      <c r="C787" s="21" t="s">
        <v>22</v>
      </c>
      <c r="D787" s="21" t="s">
        <v>18</v>
      </c>
      <c r="E787" s="21" t="s">
        <v>345</v>
      </c>
      <c r="F787" s="21"/>
      <c r="G787" s="15" t="e">
        <f>#REF!+#REF!+#REF!</f>
        <v>#REF!</v>
      </c>
      <c r="H787" s="98">
        <f t="shared" si="33"/>
        <v>7578</v>
      </c>
      <c r="I787" s="98">
        <f t="shared" si="33"/>
        <v>7577.28933</v>
      </c>
      <c r="J787" s="99">
        <f t="shared" si="31"/>
        <v>99.99062193190815</v>
      </c>
    </row>
    <row r="788" spans="1:10" ht="31.5">
      <c r="A788" s="20" t="s">
        <v>713</v>
      </c>
      <c r="B788" s="21" t="s">
        <v>119</v>
      </c>
      <c r="C788" s="21" t="s">
        <v>22</v>
      </c>
      <c r="D788" s="21" t="s">
        <v>18</v>
      </c>
      <c r="E788" s="21" t="s">
        <v>714</v>
      </c>
      <c r="F788" s="21"/>
      <c r="G788" s="15"/>
      <c r="H788" s="98">
        <f>H789+H791</f>
        <v>7578</v>
      </c>
      <c r="I788" s="98">
        <f>I789+I791</f>
        <v>7577.28933</v>
      </c>
      <c r="J788" s="99">
        <f t="shared" si="31"/>
        <v>99.99062193190815</v>
      </c>
    </row>
    <row r="789" spans="1:10" ht="78.75">
      <c r="A789" s="20" t="s">
        <v>715</v>
      </c>
      <c r="B789" s="21" t="s">
        <v>119</v>
      </c>
      <c r="C789" s="21" t="s">
        <v>22</v>
      </c>
      <c r="D789" s="21" t="s">
        <v>18</v>
      </c>
      <c r="E789" s="21" t="s">
        <v>716</v>
      </c>
      <c r="F789" s="21"/>
      <c r="G789" s="15"/>
      <c r="H789" s="98">
        <f t="shared" si="33"/>
        <v>2709</v>
      </c>
      <c r="I789" s="98">
        <f t="shared" si="33"/>
        <v>2708.94387</v>
      </c>
      <c r="J789" s="99">
        <f t="shared" si="31"/>
        <v>99.99792801771872</v>
      </c>
    </row>
    <row r="790" spans="1:10" ht="47.25">
      <c r="A790" s="20" t="s">
        <v>269</v>
      </c>
      <c r="B790" s="21" t="s">
        <v>119</v>
      </c>
      <c r="C790" s="21" t="s">
        <v>22</v>
      </c>
      <c r="D790" s="21" t="s">
        <v>18</v>
      </c>
      <c r="E790" s="21" t="s">
        <v>716</v>
      </c>
      <c r="F790" s="21" t="s">
        <v>110</v>
      </c>
      <c r="G790" s="15"/>
      <c r="H790" s="98">
        <f>3500-791</f>
        <v>2709</v>
      </c>
      <c r="I790" s="98">
        <v>2708.94387</v>
      </c>
      <c r="J790" s="99">
        <f t="shared" si="31"/>
        <v>99.99792801771872</v>
      </c>
    </row>
    <row r="791" spans="1:10" ht="78.75">
      <c r="A791" s="20" t="s">
        <v>717</v>
      </c>
      <c r="B791" s="21" t="s">
        <v>119</v>
      </c>
      <c r="C791" s="21" t="s">
        <v>22</v>
      </c>
      <c r="D791" s="21" t="s">
        <v>18</v>
      </c>
      <c r="E791" s="21" t="s">
        <v>718</v>
      </c>
      <c r="F791" s="21"/>
      <c r="G791" s="15"/>
      <c r="H791" s="99">
        <f>H792</f>
        <v>4869</v>
      </c>
      <c r="I791" s="99">
        <f>I792</f>
        <v>4868.34546</v>
      </c>
      <c r="J791" s="99">
        <f t="shared" si="31"/>
        <v>99.98655699322242</v>
      </c>
    </row>
    <row r="792" spans="1:10" ht="47.25">
      <c r="A792" s="20" t="s">
        <v>269</v>
      </c>
      <c r="B792" s="21" t="s">
        <v>119</v>
      </c>
      <c r="C792" s="21" t="s">
        <v>22</v>
      </c>
      <c r="D792" s="21" t="s">
        <v>18</v>
      </c>
      <c r="E792" s="21" t="s">
        <v>718</v>
      </c>
      <c r="F792" s="21" t="s">
        <v>110</v>
      </c>
      <c r="G792" s="15"/>
      <c r="H792" s="99">
        <f>5000-131</f>
        <v>4869</v>
      </c>
      <c r="I792" s="99">
        <v>4868.34546</v>
      </c>
      <c r="J792" s="99">
        <f t="shared" si="31"/>
        <v>99.98655699322242</v>
      </c>
    </row>
    <row r="793" spans="1:10" ht="15.75">
      <c r="A793" s="20" t="s">
        <v>34</v>
      </c>
      <c r="B793" s="21" t="s">
        <v>119</v>
      </c>
      <c r="C793" s="21" t="s">
        <v>20</v>
      </c>
      <c r="D793" s="21" t="s">
        <v>9</v>
      </c>
      <c r="E793" s="21"/>
      <c r="F793" s="21"/>
      <c r="G793" s="15"/>
      <c r="H793" s="98">
        <f>H794</f>
        <v>6</v>
      </c>
      <c r="I793" s="98">
        <f>I794</f>
        <v>2</v>
      </c>
      <c r="J793" s="99">
        <f t="shared" si="31"/>
        <v>33.33333333333333</v>
      </c>
    </row>
    <row r="794" spans="1:10" ht="15.75">
      <c r="A794" s="20" t="s">
        <v>36</v>
      </c>
      <c r="B794" s="21" t="s">
        <v>119</v>
      </c>
      <c r="C794" s="21" t="s">
        <v>20</v>
      </c>
      <c r="D794" s="21" t="s">
        <v>10</v>
      </c>
      <c r="E794" s="21"/>
      <c r="F794" s="21"/>
      <c r="G794" s="15"/>
      <c r="H794" s="98">
        <f>H795</f>
        <v>6</v>
      </c>
      <c r="I794" s="98">
        <f>I795</f>
        <v>2</v>
      </c>
      <c r="J794" s="99">
        <f t="shared" si="31"/>
        <v>33.33333333333333</v>
      </c>
    </row>
    <row r="795" spans="1:10" ht="31.5">
      <c r="A795" s="20" t="s">
        <v>690</v>
      </c>
      <c r="B795" s="21" t="s">
        <v>119</v>
      </c>
      <c r="C795" s="21" t="s">
        <v>20</v>
      </c>
      <c r="D795" s="21" t="s">
        <v>10</v>
      </c>
      <c r="E795" s="21" t="s">
        <v>691</v>
      </c>
      <c r="F795" s="21"/>
      <c r="G795" s="15"/>
      <c r="H795" s="98">
        <f aca="true" t="shared" si="34" ref="H795:I797">H796</f>
        <v>6</v>
      </c>
      <c r="I795" s="98">
        <f t="shared" si="34"/>
        <v>2</v>
      </c>
      <c r="J795" s="99">
        <f t="shared" si="31"/>
        <v>33.33333333333333</v>
      </c>
    </row>
    <row r="796" spans="1:10" ht="47.25">
      <c r="A796" s="20" t="s">
        <v>692</v>
      </c>
      <c r="B796" s="21" t="s">
        <v>119</v>
      </c>
      <c r="C796" s="21" t="s">
        <v>20</v>
      </c>
      <c r="D796" s="21" t="s">
        <v>10</v>
      </c>
      <c r="E796" s="21" t="s">
        <v>693</v>
      </c>
      <c r="F796" s="21"/>
      <c r="G796" s="15"/>
      <c r="H796" s="98">
        <f t="shared" si="34"/>
        <v>6</v>
      </c>
      <c r="I796" s="98">
        <f t="shared" si="34"/>
        <v>2</v>
      </c>
      <c r="J796" s="99">
        <f t="shared" si="31"/>
        <v>33.33333333333333</v>
      </c>
    </row>
    <row r="797" spans="1:10" ht="47.25">
      <c r="A797" s="20" t="s">
        <v>719</v>
      </c>
      <c r="B797" s="21" t="s">
        <v>119</v>
      </c>
      <c r="C797" s="21" t="s">
        <v>20</v>
      </c>
      <c r="D797" s="21" t="s">
        <v>10</v>
      </c>
      <c r="E797" s="21" t="s">
        <v>720</v>
      </c>
      <c r="F797" s="21"/>
      <c r="G797" s="15"/>
      <c r="H797" s="98">
        <f t="shared" si="34"/>
        <v>6</v>
      </c>
      <c r="I797" s="98">
        <f t="shared" si="34"/>
        <v>2</v>
      </c>
      <c r="J797" s="99">
        <f t="shared" si="31"/>
        <v>33.33333333333333</v>
      </c>
    </row>
    <row r="798" spans="1:10" ht="31.5">
      <c r="A798" s="20" t="s">
        <v>141</v>
      </c>
      <c r="B798" s="21" t="s">
        <v>119</v>
      </c>
      <c r="C798" s="21" t="s">
        <v>20</v>
      </c>
      <c r="D798" s="21" t="s">
        <v>10</v>
      </c>
      <c r="E798" s="21" t="s">
        <v>720</v>
      </c>
      <c r="F798" s="21" t="s">
        <v>104</v>
      </c>
      <c r="G798" s="15"/>
      <c r="H798" s="98">
        <v>6</v>
      </c>
      <c r="I798" s="98">
        <v>2</v>
      </c>
      <c r="J798" s="99">
        <f t="shared" si="31"/>
        <v>33.33333333333333</v>
      </c>
    </row>
    <row r="799" spans="1:10" ht="15.75">
      <c r="A799" s="20" t="s">
        <v>73</v>
      </c>
      <c r="B799" s="21" t="s">
        <v>119</v>
      </c>
      <c r="C799" s="21" t="s">
        <v>70</v>
      </c>
      <c r="D799" s="21" t="s">
        <v>8</v>
      </c>
      <c r="E799" s="21"/>
      <c r="F799" s="21"/>
      <c r="G799" s="15"/>
      <c r="H799" s="98">
        <f>H800</f>
        <v>107183.4325</v>
      </c>
      <c r="I799" s="98">
        <f>I800</f>
        <v>106012.64928</v>
      </c>
      <c r="J799" s="99">
        <f t="shared" si="31"/>
        <v>98.90768265888481</v>
      </c>
    </row>
    <row r="800" spans="1:10" ht="31.5">
      <c r="A800" s="20" t="s">
        <v>690</v>
      </c>
      <c r="B800" s="21" t="s">
        <v>119</v>
      </c>
      <c r="C800" s="21" t="s">
        <v>70</v>
      </c>
      <c r="D800" s="21" t="s">
        <v>8</v>
      </c>
      <c r="E800" s="21" t="s">
        <v>691</v>
      </c>
      <c r="F800" s="21"/>
      <c r="G800" s="15"/>
      <c r="H800" s="98">
        <f aca="true" t="shared" si="35" ref="H800:I802">H801</f>
        <v>107183.4325</v>
      </c>
      <c r="I800" s="98">
        <f t="shared" si="35"/>
        <v>106012.64928</v>
      </c>
      <c r="J800" s="99">
        <f t="shared" si="31"/>
        <v>98.90768265888481</v>
      </c>
    </row>
    <row r="801" spans="1:10" ht="31.5">
      <c r="A801" s="20" t="s">
        <v>702</v>
      </c>
      <c r="B801" s="21" t="s">
        <v>119</v>
      </c>
      <c r="C801" s="21" t="s">
        <v>70</v>
      </c>
      <c r="D801" s="21" t="s">
        <v>8</v>
      </c>
      <c r="E801" s="21" t="s">
        <v>703</v>
      </c>
      <c r="F801" s="21"/>
      <c r="G801" s="15"/>
      <c r="H801" s="98">
        <f t="shared" si="35"/>
        <v>107183.4325</v>
      </c>
      <c r="I801" s="98">
        <f t="shared" si="35"/>
        <v>106012.64928</v>
      </c>
      <c r="J801" s="99">
        <f t="shared" si="31"/>
        <v>98.90768265888481</v>
      </c>
    </row>
    <row r="802" spans="1:10" ht="31.5">
      <c r="A802" s="20" t="s">
        <v>704</v>
      </c>
      <c r="B802" s="21" t="s">
        <v>119</v>
      </c>
      <c r="C802" s="21" t="s">
        <v>70</v>
      </c>
      <c r="D802" s="21" t="s">
        <v>8</v>
      </c>
      <c r="E802" s="21" t="s">
        <v>705</v>
      </c>
      <c r="F802" s="21"/>
      <c r="G802" s="15"/>
      <c r="H802" s="98">
        <f t="shared" si="35"/>
        <v>107183.4325</v>
      </c>
      <c r="I802" s="98">
        <f t="shared" si="35"/>
        <v>106012.64928</v>
      </c>
      <c r="J802" s="99">
        <f t="shared" si="31"/>
        <v>98.90768265888481</v>
      </c>
    </row>
    <row r="803" spans="1:10" ht="15.75">
      <c r="A803" s="20" t="s">
        <v>111</v>
      </c>
      <c r="B803" s="21" t="s">
        <v>119</v>
      </c>
      <c r="C803" s="21" t="s">
        <v>70</v>
      </c>
      <c r="D803" s="21" t="s">
        <v>8</v>
      </c>
      <c r="E803" s="21" t="s">
        <v>705</v>
      </c>
      <c r="F803" s="21" t="s">
        <v>155</v>
      </c>
      <c r="G803" s="15"/>
      <c r="H803" s="98">
        <f>118983.4325-11800</f>
        <v>107183.4325</v>
      </c>
      <c r="I803" s="98">
        <v>106012.64928</v>
      </c>
      <c r="J803" s="99">
        <f t="shared" si="31"/>
        <v>98.90768265888481</v>
      </c>
    </row>
    <row r="804" spans="1:10" ht="15.75">
      <c r="A804" s="37"/>
      <c r="B804" s="28"/>
      <c r="C804" s="28"/>
      <c r="D804" s="28"/>
      <c r="E804" s="28"/>
      <c r="F804" s="28"/>
      <c r="G804" s="32"/>
      <c r="H804" s="103"/>
      <c r="I804" s="103"/>
      <c r="J804" s="29"/>
    </row>
    <row r="805" spans="1:10" ht="31.5">
      <c r="A805" s="13" t="s">
        <v>64</v>
      </c>
      <c r="B805" s="14" t="s">
        <v>120</v>
      </c>
      <c r="C805" s="17" t="s">
        <v>9</v>
      </c>
      <c r="D805" s="17" t="s">
        <v>9</v>
      </c>
      <c r="E805" s="14"/>
      <c r="F805" s="14"/>
      <c r="G805" s="19" t="e">
        <f>#REF!+#REF!+#REF!</f>
        <v>#REF!</v>
      </c>
      <c r="H805" s="104">
        <f>+H830+H806+H879</f>
        <v>252523.22929</v>
      </c>
      <c r="I805" s="104">
        <f>+I830+I806+I879</f>
        <v>235301.12433999998</v>
      </c>
      <c r="J805" s="99">
        <f t="shared" si="31"/>
        <v>93.17999179781516</v>
      </c>
    </row>
    <row r="806" spans="1:10" ht="15.75">
      <c r="A806" s="20" t="s">
        <v>43</v>
      </c>
      <c r="B806" s="21" t="s">
        <v>120</v>
      </c>
      <c r="C806" s="21" t="s">
        <v>12</v>
      </c>
      <c r="D806" s="21" t="s">
        <v>9</v>
      </c>
      <c r="E806" s="21"/>
      <c r="F806" s="21"/>
      <c r="G806" s="15" t="e">
        <f>#REF!+#REF!+#REF!</f>
        <v>#REF!</v>
      </c>
      <c r="H806" s="98">
        <f>H807+H814</f>
        <v>161905.04196</v>
      </c>
      <c r="I806" s="98">
        <f>I807+I814</f>
        <v>147370.35942999998</v>
      </c>
      <c r="J806" s="99">
        <f t="shared" si="31"/>
        <v>91.02271161290274</v>
      </c>
    </row>
    <row r="807" spans="1:10" ht="15.75">
      <c r="A807" s="20" t="s">
        <v>46</v>
      </c>
      <c r="B807" s="21" t="s">
        <v>120</v>
      </c>
      <c r="C807" s="21" t="s">
        <v>12</v>
      </c>
      <c r="D807" s="21" t="s">
        <v>26</v>
      </c>
      <c r="E807" s="21"/>
      <c r="F807" s="21"/>
      <c r="G807" s="15" t="e">
        <f>#REF!+#REF!+#REF!</f>
        <v>#REF!</v>
      </c>
      <c r="H807" s="98">
        <f>H808</f>
        <v>4972.369</v>
      </c>
      <c r="I807" s="98">
        <f>I808</f>
        <v>4900.692999999999</v>
      </c>
      <c r="J807" s="99">
        <f t="shared" si="31"/>
        <v>98.55851406040058</v>
      </c>
    </row>
    <row r="808" spans="1:10" ht="15.75">
      <c r="A808" s="20" t="s">
        <v>154</v>
      </c>
      <c r="B808" s="21" t="s">
        <v>120</v>
      </c>
      <c r="C808" s="21" t="s">
        <v>12</v>
      </c>
      <c r="D808" s="21" t="s">
        <v>26</v>
      </c>
      <c r="E808" s="21" t="s">
        <v>721</v>
      </c>
      <c r="F808" s="21"/>
      <c r="G808" s="15" t="e">
        <f>#REF!+#REF!+#REF!</f>
        <v>#REF!</v>
      </c>
      <c r="H808" s="98">
        <f>H809</f>
        <v>4972.369</v>
      </c>
      <c r="I808" s="98">
        <f>I809</f>
        <v>4900.692999999999</v>
      </c>
      <c r="J808" s="99">
        <f t="shared" si="31"/>
        <v>98.55851406040058</v>
      </c>
    </row>
    <row r="809" spans="1:10" ht="31.5">
      <c r="A809" s="20" t="s">
        <v>722</v>
      </c>
      <c r="B809" s="21" t="s">
        <v>120</v>
      </c>
      <c r="C809" s="21" t="s">
        <v>12</v>
      </c>
      <c r="D809" s="21" t="s">
        <v>26</v>
      </c>
      <c r="E809" s="21" t="s">
        <v>723</v>
      </c>
      <c r="F809" s="21"/>
      <c r="G809" s="15" t="e">
        <f>#REF!+#REF!+#REF!</f>
        <v>#REF!</v>
      </c>
      <c r="H809" s="98">
        <f>H810+H812</f>
        <v>4972.369</v>
      </c>
      <c r="I809" s="98">
        <f>I810+I812</f>
        <v>4900.692999999999</v>
      </c>
      <c r="J809" s="99">
        <f t="shared" si="31"/>
        <v>98.55851406040058</v>
      </c>
    </row>
    <row r="810" spans="1:10" ht="31.5">
      <c r="A810" s="20" t="s">
        <v>724</v>
      </c>
      <c r="B810" s="21" t="s">
        <v>120</v>
      </c>
      <c r="C810" s="21" t="s">
        <v>12</v>
      </c>
      <c r="D810" s="21" t="s">
        <v>26</v>
      </c>
      <c r="E810" s="21" t="s">
        <v>725</v>
      </c>
      <c r="F810" s="21"/>
      <c r="G810" s="15"/>
      <c r="H810" s="98">
        <f>H811</f>
        <v>4156</v>
      </c>
      <c r="I810" s="98">
        <f>I811</f>
        <v>4122.98</v>
      </c>
      <c r="J810" s="99">
        <f t="shared" si="31"/>
        <v>99.20548604427333</v>
      </c>
    </row>
    <row r="811" spans="1:10" ht="47.25">
      <c r="A811" s="20" t="s">
        <v>114</v>
      </c>
      <c r="B811" s="21" t="s">
        <v>120</v>
      </c>
      <c r="C811" s="21" t="s">
        <v>12</v>
      </c>
      <c r="D811" s="21" t="s">
        <v>26</v>
      </c>
      <c r="E811" s="21" t="s">
        <v>725</v>
      </c>
      <c r="F811" s="21" t="s">
        <v>101</v>
      </c>
      <c r="G811" s="15"/>
      <c r="H811" s="98">
        <v>4156</v>
      </c>
      <c r="I811" s="98">
        <v>4122.98</v>
      </c>
      <c r="J811" s="99">
        <f t="shared" si="31"/>
        <v>99.20548604427333</v>
      </c>
    </row>
    <row r="812" spans="1:10" ht="31.5">
      <c r="A812" s="20" t="s">
        <v>726</v>
      </c>
      <c r="B812" s="21" t="s">
        <v>120</v>
      </c>
      <c r="C812" s="21" t="s">
        <v>12</v>
      </c>
      <c r="D812" s="21" t="s">
        <v>26</v>
      </c>
      <c r="E812" s="21" t="s">
        <v>727</v>
      </c>
      <c r="F812" s="21"/>
      <c r="G812" s="15"/>
      <c r="H812" s="98">
        <f>H813</f>
        <v>816.369</v>
      </c>
      <c r="I812" s="98">
        <f>I813</f>
        <v>777.713</v>
      </c>
      <c r="J812" s="99">
        <f t="shared" si="31"/>
        <v>95.26488634428793</v>
      </c>
    </row>
    <row r="813" spans="1:10" ht="47.25">
      <c r="A813" s="20" t="s">
        <v>114</v>
      </c>
      <c r="B813" s="21" t="s">
        <v>120</v>
      </c>
      <c r="C813" s="21" t="s">
        <v>12</v>
      </c>
      <c r="D813" s="21" t="s">
        <v>26</v>
      </c>
      <c r="E813" s="21" t="s">
        <v>727</v>
      </c>
      <c r="F813" s="21" t="s">
        <v>101</v>
      </c>
      <c r="G813" s="15"/>
      <c r="H813" s="98">
        <v>816.369</v>
      </c>
      <c r="I813" s="98">
        <v>777.713</v>
      </c>
      <c r="J813" s="99">
        <f t="shared" si="31"/>
        <v>95.26488634428793</v>
      </c>
    </row>
    <row r="814" spans="1:10" ht="15.75">
      <c r="A814" s="20" t="s">
        <v>54</v>
      </c>
      <c r="B814" s="21" t="s">
        <v>120</v>
      </c>
      <c r="C814" s="21" t="s">
        <v>12</v>
      </c>
      <c r="D814" s="21" t="s">
        <v>19</v>
      </c>
      <c r="E814" s="21"/>
      <c r="F814" s="21"/>
      <c r="G814" s="15"/>
      <c r="H814" s="99">
        <f>H819+H815+H817</f>
        <v>156932.67296</v>
      </c>
      <c r="I814" s="99">
        <f>I819+I815+I817</f>
        <v>142469.66642999998</v>
      </c>
      <c r="J814" s="99">
        <f aca="true" t="shared" si="36" ref="J814:J877">I814/H814*100</f>
        <v>90.78394176483158</v>
      </c>
    </row>
    <row r="815" spans="1:10" ht="31.5">
      <c r="A815" s="20" t="s">
        <v>728</v>
      </c>
      <c r="B815" s="21" t="s">
        <v>120</v>
      </c>
      <c r="C815" s="21" t="s">
        <v>12</v>
      </c>
      <c r="D815" s="21" t="s">
        <v>19</v>
      </c>
      <c r="E815" s="21" t="s">
        <v>729</v>
      </c>
      <c r="F815" s="21"/>
      <c r="G815" s="15"/>
      <c r="H815" s="98">
        <f>H816</f>
        <v>26346</v>
      </c>
      <c r="I815" s="98">
        <f>I816</f>
        <v>25000</v>
      </c>
      <c r="J815" s="99">
        <f t="shared" si="36"/>
        <v>94.89106505731421</v>
      </c>
    </row>
    <row r="816" spans="1:10" ht="15.75">
      <c r="A816" s="20" t="s">
        <v>215</v>
      </c>
      <c r="B816" s="21" t="s">
        <v>120</v>
      </c>
      <c r="C816" s="21" t="s">
        <v>12</v>
      </c>
      <c r="D816" s="21" t="s">
        <v>19</v>
      </c>
      <c r="E816" s="21" t="s">
        <v>729</v>
      </c>
      <c r="F816" s="21" t="s">
        <v>90</v>
      </c>
      <c r="G816" s="15"/>
      <c r="H816" s="99">
        <v>26346</v>
      </c>
      <c r="I816" s="99">
        <v>25000</v>
      </c>
      <c r="J816" s="99">
        <f t="shared" si="36"/>
        <v>94.89106505731421</v>
      </c>
    </row>
    <row r="817" spans="1:10" ht="31.5">
      <c r="A817" s="20" t="s">
        <v>730</v>
      </c>
      <c r="B817" s="21" t="s">
        <v>120</v>
      </c>
      <c r="C817" s="21" t="s">
        <v>12</v>
      </c>
      <c r="D817" s="21" t="s">
        <v>19</v>
      </c>
      <c r="E817" s="21" t="s">
        <v>731</v>
      </c>
      <c r="F817" s="21"/>
      <c r="G817" s="15"/>
      <c r="H817" s="98">
        <f>H818</f>
        <v>44451.95252</v>
      </c>
      <c r="I817" s="98">
        <f>I818</f>
        <v>44451.95252</v>
      </c>
      <c r="J817" s="99">
        <f t="shared" si="36"/>
        <v>100</v>
      </c>
    </row>
    <row r="818" spans="1:10" ht="15.75">
      <c r="A818" s="20" t="s">
        <v>215</v>
      </c>
      <c r="B818" s="21" t="s">
        <v>120</v>
      </c>
      <c r="C818" s="21" t="s">
        <v>12</v>
      </c>
      <c r="D818" s="21" t="s">
        <v>19</v>
      </c>
      <c r="E818" s="21" t="s">
        <v>731</v>
      </c>
      <c r="F818" s="21" t="s">
        <v>90</v>
      </c>
      <c r="G818" s="15"/>
      <c r="H818" s="99">
        <v>44451.95252</v>
      </c>
      <c r="I818" s="99">
        <v>44451.95252</v>
      </c>
      <c r="J818" s="99">
        <f t="shared" si="36"/>
        <v>100</v>
      </c>
    </row>
    <row r="819" spans="1:10" ht="47.25">
      <c r="A819" s="20" t="s">
        <v>732</v>
      </c>
      <c r="B819" s="21" t="s">
        <v>120</v>
      </c>
      <c r="C819" s="21" t="s">
        <v>12</v>
      </c>
      <c r="D819" s="21" t="s">
        <v>19</v>
      </c>
      <c r="E819" s="21" t="s">
        <v>733</v>
      </c>
      <c r="F819" s="21"/>
      <c r="G819" s="15"/>
      <c r="H819" s="98">
        <f>H820</f>
        <v>86134.72044</v>
      </c>
      <c r="I819" s="98">
        <f>I820</f>
        <v>73017.71390999999</v>
      </c>
      <c r="J819" s="99">
        <f t="shared" si="36"/>
        <v>84.77152249058834</v>
      </c>
    </row>
    <row r="820" spans="1:10" ht="47.25">
      <c r="A820" s="20" t="s">
        <v>734</v>
      </c>
      <c r="B820" s="21" t="s">
        <v>120</v>
      </c>
      <c r="C820" s="21" t="s">
        <v>12</v>
      </c>
      <c r="D820" s="21" t="s">
        <v>19</v>
      </c>
      <c r="E820" s="21" t="s">
        <v>735</v>
      </c>
      <c r="F820" s="21"/>
      <c r="G820" s="15"/>
      <c r="H820" s="98">
        <f>H821</f>
        <v>86134.72044</v>
      </c>
      <c r="I820" s="98">
        <f>I821</f>
        <v>73017.71390999999</v>
      </c>
      <c r="J820" s="99">
        <f t="shared" si="36"/>
        <v>84.77152249058834</v>
      </c>
    </row>
    <row r="821" spans="1:10" ht="31.5">
      <c r="A821" s="20" t="s">
        <v>736</v>
      </c>
      <c r="B821" s="21" t="s">
        <v>120</v>
      </c>
      <c r="C821" s="21" t="s">
        <v>12</v>
      </c>
      <c r="D821" s="21" t="s">
        <v>19</v>
      </c>
      <c r="E821" s="21" t="s">
        <v>737</v>
      </c>
      <c r="F821" s="21"/>
      <c r="G821" s="15"/>
      <c r="H821" s="98">
        <f>H822+H824+H826+H828</f>
        <v>86134.72044</v>
      </c>
      <c r="I821" s="98">
        <f>I822+I824+I826+I828</f>
        <v>73017.71390999999</v>
      </c>
      <c r="J821" s="99">
        <f t="shared" si="36"/>
        <v>84.77152249058834</v>
      </c>
    </row>
    <row r="822" spans="1:10" ht="47.25" hidden="1">
      <c r="A822" s="20" t="s">
        <v>738</v>
      </c>
      <c r="B822" s="21" t="s">
        <v>120</v>
      </c>
      <c r="C822" s="21" t="s">
        <v>12</v>
      </c>
      <c r="D822" s="21" t="s">
        <v>19</v>
      </c>
      <c r="E822" s="21" t="s">
        <v>739</v>
      </c>
      <c r="F822" s="21"/>
      <c r="G822" s="15"/>
      <c r="H822" s="98">
        <f>H823</f>
        <v>0</v>
      </c>
      <c r="I822" s="98">
        <f>I823</f>
        <v>0</v>
      </c>
      <c r="J822" s="99" t="e">
        <f t="shared" si="36"/>
        <v>#DIV/0!</v>
      </c>
    </row>
    <row r="823" spans="1:10" ht="31.5" hidden="1">
      <c r="A823" s="20" t="s">
        <v>122</v>
      </c>
      <c r="B823" s="21" t="s">
        <v>120</v>
      </c>
      <c r="C823" s="21" t="s">
        <v>12</v>
      </c>
      <c r="D823" s="21" t="s">
        <v>19</v>
      </c>
      <c r="E823" s="21" t="s">
        <v>739</v>
      </c>
      <c r="F823" s="21" t="s">
        <v>146</v>
      </c>
      <c r="G823" s="15"/>
      <c r="H823" s="98"/>
      <c r="I823" s="98"/>
      <c r="J823" s="99" t="e">
        <f t="shared" si="36"/>
        <v>#DIV/0!</v>
      </c>
    </row>
    <row r="824" spans="1:10" ht="47.25">
      <c r="A824" s="20" t="s">
        <v>740</v>
      </c>
      <c r="B824" s="21" t="s">
        <v>120</v>
      </c>
      <c r="C824" s="21" t="s">
        <v>12</v>
      </c>
      <c r="D824" s="21" t="s">
        <v>19</v>
      </c>
      <c r="E824" s="21" t="s">
        <v>741</v>
      </c>
      <c r="F824" s="21"/>
      <c r="G824" s="15"/>
      <c r="H824" s="98">
        <f>H825</f>
        <v>56164.11479</v>
      </c>
      <c r="I824" s="98">
        <f>I825</f>
        <v>51342.90322</v>
      </c>
      <c r="J824" s="99">
        <f t="shared" si="36"/>
        <v>91.41585051589131</v>
      </c>
    </row>
    <row r="825" spans="1:10" ht="15.75">
      <c r="A825" s="20" t="s">
        <v>215</v>
      </c>
      <c r="B825" s="21" t="s">
        <v>120</v>
      </c>
      <c r="C825" s="21" t="s">
        <v>12</v>
      </c>
      <c r="D825" s="21" t="s">
        <v>19</v>
      </c>
      <c r="E825" s="21" t="s">
        <v>741</v>
      </c>
      <c r="F825" s="21" t="s">
        <v>90</v>
      </c>
      <c r="G825" s="15"/>
      <c r="H825" s="98">
        <v>56164.11479</v>
      </c>
      <c r="I825" s="98">
        <v>51342.90322</v>
      </c>
      <c r="J825" s="99">
        <f t="shared" si="36"/>
        <v>91.41585051589131</v>
      </c>
    </row>
    <row r="826" spans="1:10" ht="31.5">
      <c r="A826" s="20" t="s">
        <v>742</v>
      </c>
      <c r="B826" s="21" t="s">
        <v>120</v>
      </c>
      <c r="C826" s="21" t="s">
        <v>12</v>
      </c>
      <c r="D826" s="21" t="s">
        <v>19</v>
      </c>
      <c r="E826" s="21" t="s">
        <v>743</v>
      </c>
      <c r="F826" s="21"/>
      <c r="G826" s="15"/>
      <c r="H826" s="98">
        <f>H827</f>
        <v>29965.60565</v>
      </c>
      <c r="I826" s="98">
        <f>I827</f>
        <v>21674.81069</v>
      </c>
      <c r="J826" s="99">
        <f t="shared" si="36"/>
        <v>72.33229637726343</v>
      </c>
    </row>
    <row r="827" spans="1:10" ht="15.75">
      <c r="A827" s="20" t="s">
        <v>215</v>
      </c>
      <c r="B827" s="21" t="s">
        <v>120</v>
      </c>
      <c r="C827" s="21" t="s">
        <v>12</v>
      </c>
      <c r="D827" s="21" t="s">
        <v>19</v>
      </c>
      <c r="E827" s="21" t="s">
        <v>743</v>
      </c>
      <c r="F827" s="21" t="s">
        <v>90</v>
      </c>
      <c r="G827" s="15"/>
      <c r="H827" s="98">
        <v>29965.60565</v>
      </c>
      <c r="I827" s="98">
        <v>21674.81069</v>
      </c>
      <c r="J827" s="99">
        <f t="shared" si="36"/>
        <v>72.33229637726343</v>
      </c>
    </row>
    <row r="828" spans="1:10" ht="31.5">
      <c r="A828" s="20" t="s">
        <v>744</v>
      </c>
      <c r="B828" s="21" t="s">
        <v>120</v>
      </c>
      <c r="C828" s="21" t="s">
        <v>12</v>
      </c>
      <c r="D828" s="21" t="s">
        <v>19</v>
      </c>
      <c r="E828" s="21" t="s">
        <v>745</v>
      </c>
      <c r="F828" s="21"/>
      <c r="G828" s="15"/>
      <c r="H828" s="98">
        <f>H829</f>
        <v>5</v>
      </c>
      <c r="I828" s="98">
        <f>I829</f>
        <v>0</v>
      </c>
      <c r="J828" s="99">
        <f t="shared" si="36"/>
        <v>0</v>
      </c>
    </row>
    <row r="829" spans="1:10" ht="15.75">
      <c r="A829" s="20" t="s">
        <v>215</v>
      </c>
      <c r="B829" s="21" t="s">
        <v>120</v>
      </c>
      <c r="C829" s="21" t="s">
        <v>12</v>
      </c>
      <c r="D829" s="21" t="s">
        <v>19</v>
      </c>
      <c r="E829" s="21" t="s">
        <v>745</v>
      </c>
      <c r="F829" s="21" t="s">
        <v>90</v>
      </c>
      <c r="G829" s="15"/>
      <c r="H829" s="98">
        <v>5</v>
      </c>
      <c r="I829" s="98"/>
      <c r="J829" s="99">
        <f t="shared" si="36"/>
        <v>0</v>
      </c>
    </row>
    <row r="830" spans="1:10" ht="15.75">
      <c r="A830" s="20" t="s">
        <v>21</v>
      </c>
      <c r="B830" s="21" t="s">
        <v>120</v>
      </c>
      <c r="C830" s="21" t="s">
        <v>22</v>
      </c>
      <c r="D830" s="21" t="s">
        <v>9</v>
      </c>
      <c r="E830" s="21"/>
      <c r="F830" s="21"/>
      <c r="G830" s="15" t="e">
        <f>#REF!+#REF!+#REF!</f>
        <v>#REF!</v>
      </c>
      <c r="H830" s="98">
        <f>H831+H859</f>
        <v>90612.44233</v>
      </c>
      <c r="I830" s="98">
        <f>I831+I859</f>
        <v>87925.01991000002</v>
      </c>
      <c r="J830" s="99">
        <f t="shared" si="36"/>
        <v>97.03415739505982</v>
      </c>
    </row>
    <row r="831" spans="1:10" ht="15.75">
      <c r="A831" s="20" t="s">
        <v>47</v>
      </c>
      <c r="B831" s="21" t="s">
        <v>120</v>
      </c>
      <c r="C831" s="21" t="s">
        <v>22</v>
      </c>
      <c r="D831" s="21" t="s">
        <v>10</v>
      </c>
      <c r="E831" s="21"/>
      <c r="F831" s="21"/>
      <c r="G831" s="15" t="e">
        <f>#REF!+#REF!+#REF!</f>
        <v>#REF!</v>
      </c>
      <c r="H831" s="99">
        <f>H838+H832+H836</f>
        <v>70385.92333</v>
      </c>
      <c r="I831" s="99">
        <f>I838+I832+I836</f>
        <v>68034.14890000001</v>
      </c>
      <c r="J831" s="99">
        <f t="shared" si="36"/>
        <v>96.65874322771353</v>
      </c>
    </row>
    <row r="832" spans="1:10" ht="47.25">
      <c r="A832" s="54" t="s">
        <v>746</v>
      </c>
      <c r="B832" s="21" t="s">
        <v>120</v>
      </c>
      <c r="C832" s="21" t="s">
        <v>22</v>
      </c>
      <c r="D832" s="21" t="s">
        <v>10</v>
      </c>
      <c r="E832" s="21" t="s">
        <v>747</v>
      </c>
      <c r="F832" s="21"/>
      <c r="G832" s="15"/>
      <c r="H832" s="99">
        <f>H833</f>
        <v>2369.7</v>
      </c>
      <c r="I832" s="99">
        <f>I833</f>
        <v>2369.7</v>
      </c>
      <c r="J832" s="99">
        <f t="shared" si="36"/>
        <v>100</v>
      </c>
    </row>
    <row r="833" spans="1:10" ht="31.5">
      <c r="A833" s="54" t="s">
        <v>748</v>
      </c>
      <c r="B833" s="21" t="s">
        <v>120</v>
      </c>
      <c r="C833" s="21" t="s">
        <v>22</v>
      </c>
      <c r="D833" s="21" t="s">
        <v>10</v>
      </c>
      <c r="E833" s="21" t="s">
        <v>749</v>
      </c>
      <c r="F833" s="21"/>
      <c r="G833" s="15"/>
      <c r="H833" s="98">
        <f>H835+H834</f>
        <v>2369.7</v>
      </c>
      <c r="I833" s="98">
        <f>I835+I834</f>
        <v>2369.7</v>
      </c>
      <c r="J833" s="99">
        <f t="shared" si="36"/>
        <v>100</v>
      </c>
    </row>
    <row r="834" spans="1:10" ht="31.5">
      <c r="A834" s="20" t="s">
        <v>92</v>
      </c>
      <c r="B834" s="21" t="s">
        <v>120</v>
      </c>
      <c r="C834" s="21" t="s">
        <v>22</v>
      </c>
      <c r="D834" s="21" t="s">
        <v>10</v>
      </c>
      <c r="E834" s="21" t="s">
        <v>749</v>
      </c>
      <c r="F834" s="21" t="s">
        <v>89</v>
      </c>
      <c r="G834" s="15"/>
      <c r="H834" s="99">
        <v>116.745</v>
      </c>
      <c r="I834" s="99">
        <v>116.745</v>
      </c>
      <c r="J834" s="99">
        <f t="shared" si="36"/>
        <v>100</v>
      </c>
    </row>
    <row r="835" spans="1:10" ht="15.75">
      <c r="A835" s="20" t="s">
        <v>140</v>
      </c>
      <c r="B835" s="21" t="s">
        <v>120</v>
      </c>
      <c r="C835" s="21" t="s">
        <v>22</v>
      </c>
      <c r="D835" s="21" t="s">
        <v>10</v>
      </c>
      <c r="E835" s="21" t="s">
        <v>749</v>
      </c>
      <c r="F835" s="21" t="s">
        <v>90</v>
      </c>
      <c r="G835" s="15"/>
      <c r="H835" s="99">
        <v>2252.955</v>
      </c>
      <c r="I835" s="99">
        <v>2252.955</v>
      </c>
      <c r="J835" s="99">
        <f t="shared" si="36"/>
        <v>100</v>
      </c>
    </row>
    <row r="836" spans="1:10" ht="31.5">
      <c r="A836" s="20" t="s">
        <v>750</v>
      </c>
      <c r="B836" s="21" t="s">
        <v>120</v>
      </c>
      <c r="C836" s="21" t="s">
        <v>22</v>
      </c>
      <c r="D836" s="21" t="s">
        <v>10</v>
      </c>
      <c r="E836" s="21" t="s">
        <v>751</v>
      </c>
      <c r="F836" s="21"/>
      <c r="G836" s="15"/>
      <c r="H836" s="98">
        <f>H837</f>
        <v>400</v>
      </c>
      <c r="I836" s="98">
        <f>I837</f>
        <v>400</v>
      </c>
      <c r="J836" s="99">
        <f t="shared" si="36"/>
        <v>100</v>
      </c>
    </row>
    <row r="837" spans="1:10" ht="15.75">
      <c r="A837" s="20" t="s">
        <v>140</v>
      </c>
      <c r="B837" s="21" t="s">
        <v>120</v>
      </c>
      <c r="C837" s="21" t="s">
        <v>22</v>
      </c>
      <c r="D837" s="21" t="s">
        <v>10</v>
      </c>
      <c r="E837" s="21" t="s">
        <v>751</v>
      </c>
      <c r="F837" s="21" t="s">
        <v>90</v>
      </c>
      <c r="G837" s="15"/>
      <c r="H837" s="98">
        <v>400</v>
      </c>
      <c r="I837" s="98">
        <v>400</v>
      </c>
      <c r="J837" s="99">
        <f t="shared" si="36"/>
        <v>100</v>
      </c>
    </row>
    <row r="838" spans="1:10" ht="47.25">
      <c r="A838" s="20" t="s">
        <v>732</v>
      </c>
      <c r="B838" s="21" t="s">
        <v>120</v>
      </c>
      <c r="C838" s="21" t="s">
        <v>22</v>
      </c>
      <c r="D838" s="21" t="s">
        <v>10</v>
      </c>
      <c r="E838" s="21" t="s">
        <v>733</v>
      </c>
      <c r="F838" s="21"/>
      <c r="G838" s="15" t="e">
        <f>#REF!+#REF!+#REF!</f>
        <v>#REF!</v>
      </c>
      <c r="H838" s="98">
        <f>H839</f>
        <v>67616.22333000001</v>
      </c>
      <c r="I838" s="98">
        <f>I839</f>
        <v>65264.44890000001</v>
      </c>
      <c r="J838" s="99">
        <f t="shared" si="36"/>
        <v>96.52187845730128</v>
      </c>
    </row>
    <row r="839" spans="1:10" ht="47.25">
      <c r="A839" s="20" t="s">
        <v>734</v>
      </c>
      <c r="B839" s="21" t="s">
        <v>120</v>
      </c>
      <c r="C839" s="21" t="s">
        <v>22</v>
      </c>
      <c r="D839" s="21" t="s">
        <v>10</v>
      </c>
      <c r="E839" s="21" t="s">
        <v>735</v>
      </c>
      <c r="F839" s="21"/>
      <c r="G839" s="15" t="e">
        <f>#REF!+#REF!+#REF!</f>
        <v>#REF!</v>
      </c>
      <c r="H839" s="98">
        <f>H840</f>
        <v>67616.22333000001</v>
      </c>
      <c r="I839" s="98">
        <f>I840</f>
        <v>65264.44890000001</v>
      </c>
      <c r="J839" s="99">
        <f t="shared" si="36"/>
        <v>96.52187845730128</v>
      </c>
    </row>
    <row r="840" spans="1:10" ht="31.5">
      <c r="A840" s="20" t="s">
        <v>752</v>
      </c>
      <c r="B840" s="21" t="s">
        <v>120</v>
      </c>
      <c r="C840" s="21" t="s">
        <v>22</v>
      </c>
      <c r="D840" s="21" t="s">
        <v>10</v>
      </c>
      <c r="E840" s="21" t="s">
        <v>513</v>
      </c>
      <c r="F840" s="21"/>
      <c r="G840" s="15"/>
      <c r="H840" s="98">
        <f>H841+H843+H845+H847+H849</f>
        <v>67616.22333000001</v>
      </c>
      <c r="I840" s="98">
        <f>I841+I843+I845+I847+I849</f>
        <v>65264.44890000001</v>
      </c>
      <c r="J840" s="99">
        <f t="shared" si="36"/>
        <v>96.52187845730128</v>
      </c>
    </row>
    <row r="841" spans="1:10" ht="31.5">
      <c r="A841" s="20" t="s">
        <v>753</v>
      </c>
      <c r="B841" s="21" t="s">
        <v>120</v>
      </c>
      <c r="C841" s="21" t="s">
        <v>22</v>
      </c>
      <c r="D841" s="21" t="s">
        <v>10</v>
      </c>
      <c r="E841" s="21" t="s">
        <v>754</v>
      </c>
      <c r="F841" s="21"/>
      <c r="G841" s="15"/>
      <c r="H841" s="98">
        <f>H842</f>
        <v>7789.61065</v>
      </c>
      <c r="I841" s="98">
        <f>I842</f>
        <v>7242.75389</v>
      </c>
      <c r="J841" s="99">
        <f t="shared" si="36"/>
        <v>92.97966503627497</v>
      </c>
    </row>
    <row r="842" spans="1:10" ht="15.75">
      <c r="A842" s="20" t="s">
        <v>140</v>
      </c>
      <c r="B842" s="21" t="s">
        <v>120</v>
      </c>
      <c r="C842" s="21" t="s">
        <v>22</v>
      </c>
      <c r="D842" s="21" t="s">
        <v>10</v>
      </c>
      <c r="E842" s="21" t="s">
        <v>754</v>
      </c>
      <c r="F842" s="21" t="s">
        <v>90</v>
      </c>
      <c r="G842" s="15"/>
      <c r="H842" s="98">
        <v>7789.61065</v>
      </c>
      <c r="I842" s="98">
        <v>7242.75389</v>
      </c>
      <c r="J842" s="99">
        <f t="shared" si="36"/>
        <v>92.97966503627497</v>
      </c>
    </row>
    <row r="843" spans="1:10" ht="15.75">
      <c r="A843" s="20" t="s">
        <v>755</v>
      </c>
      <c r="B843" s="21" t="s">
        <v>120</v>
      </c>
      <c r="C843" s="21" t="s">
        <v>22</v>
      </c>
      <c r="D843" s="21" t="s">
        <v>10</v>
      </c>
      <c r="E843" s="21" t="s">
        <v>756</v>
      </c>
      <c r="F843" s="21"/>
      <c r="G843" s="15"/>
      <c r="H843" s="98">
        <f>H844</f>
        <v>12008.31968</v>
      </c>
      <c r="I843" s="98">
        <f>I844</f>
        <v>12000</v>
      </c>
      <c r="J843" s="99">
        <f t="shared" si="36"/>
        <v>99.93071736744437</v>
      </c>
    </row>
    <row r="844" spans="1:10" ht="15.75">
      <c r="A844" s="20" t="s">
        <v>140</v>
      </c>
      <c r="B844" s="21" t="s">
        <v>120</v>
      </c>
      <c r="C844" s="21" t="s">
        <v>22</v>
      </c>
      <c r="D844" s="21" t="s">
        <v>10</v>
      </c>
      <c r="E844" s="21" t="s">
        <v>756</v>
      </c>
      <c r="F844" s="21" t="s">
        <v>90</v>
      </c>
      <c r="G844" s="15"/>
      <c r="H844" s="98">
        <f>10508.31968+1500</f>
        <v>12008.31968</v>
      </c>
      <c r="I844" s="98">
        <v>12000</v>
      </c>
      <c r="J844" s="99">
        <f t="shared" si="36"/>
        <v>99.93071736744437</v>
      </c>
    </row>
    <row r="845" spans="1:10" ht="31.5">
      <c r="A845" s="20" t="s">
        <v>757</v>
      </c>
      <c r="B845" s="21" t="s">
        <v>120</v>
      </c>
      <c r="C845" s="21" t="s">
        <v>22</v>
      </c>
      <c r="D845" s="21" t="s">
        <v>10</v>
      </c>
      <c r="E845" s="21" t="s">
        <v>758</v>
      </c>
      <c r="F845" s="21"/>
      <c r="G845" s="15"/>
      <c r="H845" s="98">
        <f>H846</f>
        <v>6957</v>
      </c>
      <c r="I845" s="98">
        <f>I846</f>
        <v>6795.006</v>
      </c>
      <c r="J845" s="99">
        <f t="shared" si="36"/>
        <v>97.671496334627</v>
      </c>
    </row>
    <row r="846" spans="1:10" ht="47.25">
      <c r="A846" s="20" t="s">
        <v>269</v>
      </c>
      <c r="B846" s="21" t="s">
        <v>120</v>
      </c>
      <c r="C846" s="21" t="s">
        <v>22</v>
      </c>
      <c r="D846" s="21" t="s">
        <v>10</v>
      </c>
      <c r="E846" s="21" t="s">
        <v>758</v>
      </c>
      <c r="F846" s="21" t="s">
        <v>110</v>
      </c>
      <c r="G846" s="15"/>
      <c r="H846" s="98">
        <v>6957</v>
      </c>
      <c r="I846" s="98">
        <v>6795.006</v>
      </c>
      <c r="J846" s="99">
        <f t="shared" si="36"/>
        <v>97.671496334627</v>
      </c>
    </row>
    <row r="847" spans="1:10" ht="15.75">
      <c r="A847" s="20" t="s">
        <v>759</v>
      </c>
      <c r="B847" s="21" t="s">
        <v>120</v>
      </c>
      <c r="C847" s="21" t="s">
        <v>22</v>
      </c>
      <c r="D847" s="21" t="s">
        <v>10</v>
      </c>
      <c r="E847" s="21" t="s">
        <v>760</v>
      </c>
      <c r="F847" s="21"/>
      <c r="G847" s="15"/>
      <c r="H847" s="98">
        <f>H848</f>
        <v>800</v>
      </c>
      <c r="I847" s="98">
        <f>I848</f>
        <v>800</v>
      </c>
      <c r="J847" s="99">
        <f t="shared" si="36"/>
        <v>100</v>
      </c>
    </row>
    <row r="848" spans="1:10" ht="15.75">
      <c r="A848" s="20" t="s">
        <v>140</v>
      </c>
      <c r="B848" s="21" t="s">
        <v>120</v>
      </c>
      <c r="C848" s="21" t="s">
        <v>22</v>
      </c>
      <c r="D848" s="21" t="s">
        <v>10</v>
      </c>
      <c r="E848" s="21" t="s">
        <v>760</v>
      </c>
      <c r="F848" s="21" t="s">
        <v>90</v>
      </c>
      <c r="G848" s="15"/>
      <c r="H848" s="98">
        <v>800</v>
      </c>
      <c r="I848" s="98">
        <v>800</v>
      </c>
      <c r="J848" s="99">
        <f t="shared" si="36"/>
        <v>100</v>
      </c>
    </row>
    <row r="849" spans="1:10" ht="31.5">
      <c r="A849" s="20" t="s">
        <v>761</v>
      </c>
      <c r="B849" s="21" t="s">
        <v>120</v>
      </c>
      <c r="C849" s="21" t="s">
        <v>22</v>
      </c>
      <c r="D849" s="21" t="s">
        <v>10</v>
      </c>
      <c r="E849" s="21" t="s">
        <v>762</v>
      </c>
      <c r="F849" s="21"/>
      <c r="G849" s="15"/>
      <c r="H849" s="98">
        <f>H850+H851+H853+H855+H856+H857+H858+H852+H854</f>
        <v>40061.293000000005</v>
      </c>
      <c r="I849" s="98">
        <f>I850+I851+I853+I855+I856+I857+I858+I852+I854</f>
        <v>38426.68901000001</v>
      </c>
      <c r="J849" s="99">
        <f t="shared" si="36"/>
        <v>95.91974230587117</v>
      </c>
    </row>
    <row r="850" spans="1:10" ht="47.25" hidden="1">
      <c r="A850" s="20" t="s">
        <v>128</v>
      </c>
      <c r="B850" s="21" t="s">
        <v>120</v>
      </c>
      <c r="C850" s="21" t="s">
        <v>22</v>
      </c>
      <c r="D850" s="21" t="s">
        <v>10</v>
      </c>
      <c r="E850" s="21" t="s">
        <v>762</v>
      </c>
      <c r="F850" s="21" t="s">
        <v>127</v>
      </c>
      <c r="G850" s="15"/>
      <c r="H850" s="98"/>
      <c r="I850" s="98"/>
      <c r="J850" s="99" t="e">
        <f t="shared" si="36"/>
        <v>#DIV/0!</v>
      </c>
    </row>
    <row r="851" spans="1:10" ht="31.5">
      <c r="A851" s="20" t="s">
        <v>92</v>
      </c>
      <c r="B851" s="21" t="s">
        <v>120</v>
      </c>
      <c r="C851" s="21" t="s">
        <v>22</v>
      </c>
      <c r="D851" s="21" t="s">
        <v>10</v>
      </c>
      <c r="E851" s="21" t="s">
        <v>762</v>
      </c>
      <c r="F851" s="21" t="s">
        <v>89</v>
      </c>
      <c r="G851" s="15"/>
      <c r="H851" s="98">
        <v>30</v>
      </c>
      <c r="I851" s="98">
        <v>0.891</v>
      </c>
      <c r="J851" s="99">
        <f t="shared" si="36"/>
        <v>2.97</v>
      </c>
    </row>
    <row r="852" spans="1:10" ht="31.5">
      <c r="A852" s="20" t="s">
        <v>124</v>
      </c>
      <c r="B852" s="21" t="s">
        <v>120</v>
      </c>
      <c r="C852" s="21" t="s">
        <v>22</v>
      </c>
      <c r="D852" s="21" t="s">
        <v>10</v>
      </c>
      <c r="E852" s="21" t="s">
        <v>762</v>
      </c>
      <c r="F852" s="21" t="s">
        <v>123</v>
      </c>
      <c r="G852" s="15"/>
      <c r="H852" s="98">
        <v>3407.34436</v>
      </c>
      <c r="I852" s="98">
        <v>3407.34436</v>
      </c>
      <c r="J852" s="99">
        <f t="shared" si="36"/>
        <v>100</v>
      </c>
    </row>
    <row r="853" spans="1:10" ht="15.75">
      <c r="A853" s="20" t="s">
        <v>140</v>
      </c>
      <c r="B853" s="21" t="s">
        <v>120</v>
      </c>
      <c r="C853" s="21" t="s">
        <v>22</v>
      </c>
      <c r="D853" s="21" t="s">
        <v>10</v>
      </c>
      <c r="E853" s="21" t="s">
        <v>762</v>
      </c>
      <c r="F853" s="21" t="s">
        <v>90</v>
      </c>
      <c r="G853" s="15" t="e">
        <f>#REF!+#REF!+#REF!</f>
        <v>#REF!</v>
      </c>
      <c r="H853" s="98">
        <v>34756.81028</v>
      </c>
      <c r="I853" s="98">
        <v>33156.57929</v>
      </c>
      <c r="J853" s="99">
        <f t="shared" si="36"/>
        <v>95.39592103789568</v>
      </c>
    </row>
    <row r="854" spans="1:10" ht="15.75">
      <c r="A854" s="20" t="s">
        <v>157</v>
      </c>
      <c r="B854" s="21" t="s">
        <v>120</v>
      </c>
      <c r="C854" s="21" t="s">
        <v>22</v>
      </c>
      <c r="D854" s="21" t="s">
        <v>10</v>
      </c>
      <c r="E854" s="21" t="s">
        <v>762</v>
      </c>
      <c r="F854" s="21" t="s">
        <v>158</v>
      </c>
      <c r="G854" s="15"/>
      <c r="H854" s="98">
        <f>356.15+96.1</f>
        <v>452.25</v>
      </c>
      <c r="I854" s="98">
        <v>446.986</v>
      </c>
      <c r="J854" s="99">
        <f t="shared" si="36"/>
        <v>98.83604201216141</v>
      </c>
    </row>
    <row r="855" spans="1:10" ht="78.75">
      <c r="A855" s="20" t="s">
        <v>706</v>
      </c>
      <c r="B855" s="21" t="s">
        <v>120</v>
      </c>
      <c r="C855" s="21" t="s">
        <v>22</v>
      </c>
      <c r="D855" s="21" t="s">
        <v>10</v>
      </c>
      <c r="E855" s="21" t="s">
        <v>762</v>
      </c>
      <c r="F855" s="21" t="s">
        <v>134</v>
      </c>
      <c r="G855" s="15"/>
      <c r="H855" s="98">
        <v>162.40228</v>
      </c>
      <c r="I855" s="98">
        <v>162.40228</v>
      </c>
      <c r="J855" s="99">
        <f t="shared" si="36"/>
        <v>100</v>
      </c>
    </row>
    <row r="856" spans="1:10" ht="15.75">
      <c r="A856" s="20" t="s">
        <v>97</v>
      </c>
      <c r="B856" s="21" t="s">
        <v>120</v>
      </c>
      <c r="C856" s="21" t="s">
        <v>22</v>
      </c>
      <c r="D856" s="21" t="s">
        <v>10</v>
      </c>
      <c r="E856" s="21" t="s">
        <v>762</v>
      </c>
      <c r="F856" s="21" t="s">
        <v>95</v>
      </c>
      <c r="G856" s="15"/>
      <c r="H856" s="98">
        <f>433.77261-237.11861</f>
        <v>196.654</v>
      </c>
      <c r="I856" s="98">
        <f>433.77261-237.11861</f>
        <v>196.654</v>
      </c>
      <c r="J856" s="99">
        <f t="shared" si="36"/>
        <v>100</v>
      </c>
    </row>
    <row r="857" spans="1:10" ht="15.75">
      <c r="A857" s="20" t="s">
        <v>196</v>
      </c>
      <c r="B857" s="21" t="s">
        <v>120</v>
      </c>
      <c r="C857" s="21" t="s">
        <v>22</v>
      </c>
      <c r="D857" s="21" t="s">
        <v>10</v>
      </c>
      <c r="E857" s="21" t="s">
        <v>762</v>
      </c>
      <c r="F857" s="21" t="s">
        <v>96</v>
      </c>
      <c r="G857" s="15" t="e">
        <f>#REF!+#REF!+#REF!</f>
        <v>#REF!</v>
      </c>
      <c r="H857" s="98">
        <f>455.09013+580.74195</f>
        <v>1035.83208</v>
      </c>
      <c r="I857" s="98">
        <f>455.09013+580.74195</f>
        <v>1035.83208</v>
      </c>
      <c r="J857" s="99">
        <f t="shared" si="36"/>
        <v>100</v>
      </c>
    </row>
    <row r="858" spans="1:10" ht="15.75">
      <c r="A858" s="20" t="s">
        <v>270</v>
      </c>
      <c r="B858" s="21" t="s">
        <v>120</v>
      </c>
      <c r="C858" s="21" t="s">
        <v>22</v>
      </c>
      <c r="D858" s="21" t="s">
        <v>10</v>
      </c>
      <c r="E858" s="21" t="s">
        <v>762</v>
      </c>
      <c r="F858" s="21" t="s">
        <v>271</v>
      </c>
      <c r="G858" s="15"/>
      <c r="H858" s="98">
        <f>10+10</f>
        <v>20</v>
      </c>
      <c r="I858" s="98">
        <f>10+10</f>
        <v>20</v>
      </c>
      <c r="J858" s="99">
        <f t="shared" si="36"/>
        <v>100</v>
      </c>
    </row>
    <row r="859" spans="1:10" ht="15.75">
      <c r="A859" s="20" t="s">
        <v>41</v>
      </c>
      <c r="B859" s="21" t="s">
        <v>120</v>
      </c>
      <c r="C859" s="21" t="s">
        <v>22</v>
      </c>
      <c r="D859" s="21" t="s">
        <v>22</v>
      </c>
      <c r="E859" s="21"/>
      <c r="F859" s="21"/>
      <c r="G859" s="15" t="e">
        <f>#REF!+#REF!+#REF!</f>
        <v>#REF!</v>
      </c>
      <c r="H859" s="98">
        <f aca="true" t="shared" si="37" ref="H859:I861">H860</f>
        <v>20226.519</v>
      </c>
      <c r="I859" s="98">
        <f t="shared" si="37"/>
        <v>19890.87101</v>
      </c>
      <c r="J859" s="99">
        <f t="shared" si="36"/>
        <v>98.34055484287731</v>
      </c>
    </row>
    <row r="860" spans="1:10" ht="47.25">
      <c r="A860" s="20" t="s">
        <v>732</v>
      </c>
      <c r="B860" s="21" t="s">
        <v>120</v>
      </c>
      <c r="C860" s="21" t="s">
        <v>22</v>
      </c>
      <c r="D860" s="21" t="s">
        <v>22</v>
      </c>
      <c r="E860" s="21" t="s">
        <v>733</v>
      </c>
      <c r="F860" s="21"/>
      <c r="G860" s="15" t="e">
        <f>#REF!+#REF!+#REF!</f>
        <v>#REF!</v>
      </c>
      <c r="H860" s="98">
        <f t="shared" si="37"/>
        <v>20226.519</v>
      </c>
      <c r="I860" s="98">
        <f t="shared" si="37"/>
        <v>19890.87101</v>
      </c>
      <c r="J860" s="99">
        <f t="shared" si="36"/>
        <v>98.34055484287731</v>
      </c>
    </row>
    <row r="861" spans="1:10" ht="47.25">
      <c r="A861" s="20" t="s">
        <v>763</v>
      </c>
      <c r="B861" s="21" t="s">
        <v>120</v>
      </c>
      <c r="C861" s="21" t="s">
        <v>22</v>
      </c>
      <c r="D861" s="21" t="s">
        <v>22</v>
      </c>
      <c r="E861" s="21" t="s">
        <v>764</v>
      </c>
      <c r="F861" s="21"/>
      <c r="G861" s="15"/>
      <c r="H861" s="98">
        <f t="shared" si="37"/>
        <v>20226.519</v>
      </c>
      <c r="I861" s="98">
        <f t="shared" si="37"/>
        <v>19890.87101</v>
      </c>
      <c r="J861" s="99">
        <f t="shared" si="36"/>
        <v>98.34055484287731</v>
      </c>
    </row>
    <row r="862" spans="1:10" ht="47.25">
      <c r="A862" s="20" t="s">
        <v>765</v>
      </c>
      <c r="B862" s="21" t="s">
        <v>120</v>
      </c>
      <c r="C862" s="21" t="s">
        <v>22</v>
      </c>
      <c r="D862" s="21" t="s">
        <v>22</v>
      </c>
      <c r="E862" s="21" t="s">
        <v>766</v>
      </c>
      <c r="F862" s="21"/>
      <c r="G862" s="15"/>
      <c r="H862" s="98">
        <f>H863+H869</f>
        <v>20226.519</v>
      </c>
      <c r="I862" s="98">
        <f>I863+I869</f>
        <v>19890.87101</v>
      </c>
      <c r="J862" s="99">
        <f t="shared" si="36"/>
        <v>98.34055484287731</v>
      </c>
    </row>
    <row r="863" spans="1:10" ht="47.25">
      <c r="A863" s="20" t="s">
        <v>767</v>
      </c>
      <c r="B863" s="21" t="s">
        <v>120</v>
      </c>
      <c r="C863" s="21" t="s">
        <v>22</v>
      </c>
      <c r="D863" s="21" t="s">
        <v>22</v>
      </c>
      <c r="E863" s="21" t="s">
        <v>768</v>
      </c>
      <c r="F863" s="21"/>
      <c r="G863" s="15" t="e">
        <f>#REF!+#REF!+#REF!</f>
        <v>#REF!</v>
      </c>
      <c r="H863" s="98">
        <f>H864</f>
        <v>16258.264</v>
      </c>
      <c r="I863" s="98">
        <f>I864</f>
        <v>16258.264</v>
      </c>
      <c r="J863" s="99">
        <f t="shared" si="36"/>
        <v>100</v>
      </c>
    </row>
    <row r="864" spans="1:10" ht="15.75">
      <c r="A864" s="20" t="s">
        <v>82</v>
      </c>
      <c r="B864" s="21" t="s">
        <v>120</v>
      </c>
      <c r="C864" s="21" t="s">
        <v>22</v>
      </c>
      <c r="D864" s="21" t="s">
        <v>22</v>
      </c>
      <c r="E864" s="21" t="s">
        <v>768</v>
      </c>
      <c r="F864" s="21" t="s">
        <v>81</v>
      </c>
      <c r="G864" s="15"/>
      <c r="H864" s="98">
        <f>H865+H866+H867+H868</f>
        <v>16258.264</v>
      </c>
      <c r="I864" s="98">
        <f>I865+I866+I867+I868</f>
        <v>16258.264</v>
      </c>
      <c r="J864" s="99">
        <f t="shared" si="36"/>
        <v>100</v>
      </c>
    </row>
    <row r="865" spans="1:10" ht="15.75">
      <c r="A865" s="20" t="s">
        <v>191</v>
      </c>
      <c r="B865" s="21" t="s">
        <v>120</v>
      </c>
      <c r="C865" s="21" t="s">
        <v>22</v>
      </c>
      <c r="D865" s="21" t="s">
        <v>22</v>
      </c>
      <c r="E865" s="21" t="s">
        <v>768</v>
      </c>
      <c r="F865" s="21" t="s">
        <v>83</v>
      </c>
      <c r="G865" s="15"/>
      <c r="H865" s="98">
        <v>12515.264</v>
      </c>
      <c r="I865" s="98">
        <v>12515.264</v>
      </c>
      <c r="J865" s="99">
        <f t="shared" si="36"/>
        <v>100</v>
      </c>
    </row>
    <row r="866" spans="1:10" ht="15.75" hidden="1">
      <c r="A866" s="20" t="s">
        <v>86</v>
      </c>
      <c r="B866" s="21" t="s">
        <v>120</v>
      </c>
      <c r="C866" s="21" t="s">
        <v>22</v>
      </c>
      <c r="D866" s="21" t="s">
        <v>22</v>
      </c>
      <c r="E866" s="21" t="s">
        <v>768</v>
      </c>
      <c r="F866" s="21" t="s">
        <v>85</v>
      </c>
      <c r="G866" s="15"/>
      <c r="H866" s="98"/>
      <c r="I866" s="98"/>
      <c r="J866" s="99" t="e">
        <f t="shared" si="36"/>
        <v>#DIV/0!</v>
      </c>
    </row>
    <row r="867" spans="1:10" ht="47.25" hidden="1">
      <c r="A867" s="20" t="s">
        <v>128</v>
      </c>
      <c r="B867" s="21" t="s">
        <v>120</v>
      </c>
      <c r="C867" s="21" t="s">
        <v>22</v>
      </c>
      <c r="D867" s="21" t="s">
        <v>22</v>
      </c>
      <c r="E867" s="21" t="s">
        <v>768</v>
      </c>
      <c r="F867" s="21" t="s">
        <v>127</v>
      </c>
      <c r="G867" s="15"/>
      <c r="H867" s="98"/>
      <c r="I867" s="98"/>
      <c r="J867" s="99" t="e">
        <f t="shared" si="36"/>
        <v>#DIV/0!</v>
      </c>
    </row>
    <row r="868" spans="1:10" ht="31.5">
      <c r="A868" s="20" t="s">
        <v>192</v>
      </c>
      <c r="B868" s="21" t="s">
        <v>120</v>
      </c>
      <c r="C868" s="21" t="s">
        <v>22</v>
      </c>
      <c r="D868" s="21" t="s">
        <v>22</v>
      </c>
      <c r="E868" s="21" t="s">
        <v>768</v>
      </c>
      <c r="F868" s="21" t="s">
        <v>193</v>
      </c>
      <c r="G868" s="15"/>
      <c r="H868" s="98">
        <v>3743</v>
      </c>
      <c r="I868" s="98">
        <v>3743</v>
      </c>
      <c r="J868" s="99">
        <f t="shared" si="36"/>
        <v>100</v>
      </c>
    </row>
    <row r="869" spans="1:10" ht="47.25">
      <c r="A869" s="20" t="s">
        <v>769</v>
      </c>
      <c r="B869" s="21" t="s">
        <v>120</v>
      </c>
      <c r="C869" s="21" t="s">
        <v>22</v>
      </c>
      <c r="D869" s="21" t="s">
        <v>22</v>
      </c>
      <c r="E869" s="21" t="s">
        <v>770</v>
      </c>
      <c r="F869" s="21"/>
      <c r="G869" s="15"/>
      <c r="H869" s="98">
        <f>H870+H872+H875</f>
        <v>3968.255</v>
      </c>
      <c r="I869" s="98">
        <f>I870+I872+I875</f>
        <v>3632.60701</v>
      </c>
      <c r="J869" s="99">
        <f t="shared" si="36"/>
        <v>91.54167285116506</v>
      </c>
    </row>
    <row r="870" spans="1:10" ht="15.75">
      <c r="A870" s="20" t="s">
        <v>82</v>
      </c>
      <c r="B870" s="21" t="s">
        <v>120</v>
      </c>
      <c r="C870" s="21" t="s">
        <v>22</v>
      </c>
      <c r="D870" s="21" t="s">
        <v>22</v>
      </c>
      <c r="E870" s="21" t="s">
        <v>770</v>
      </c>
      <c r="F870" s="21" t="s">
        <v>81</v>
      </c>
      <c r="G870" s="15"/>
      <c r="H870" s="98">
        <f>H871</f>
        <v>478</v>
      </c>
      <c r="I870" s="98">
        <f>I871</f>
        <v>409.316</v>
      </c>
      <c r="J870" s="99">
        <f t="shared" si="36"/>
        <v>85.63096234309623</v>
      </c>
    </row>
    <row r="871" spans="1:10" ht="31.5">
      <c r="A871" s="20" t="s">
        <v>138</v>
      </c>
      <c r="B871" s="21" t="s">
        <v>120</v>
      </c>
      <c r="C871" s="21" t="s">
        <v>22</v>
      </c>
      <c r="D871" s="21" t="s">
        <v>22</v>
      </c>
      <c r="E871" s="21" t="s">
        <v>770</v>
      </c>
      <c r="F871" s="21" t="s">
        <v>85</v>
      </c>
      <c r="G871" s="15"/>
      <c r="H871" s="98">
        <v>478</v>
      </c>
      <c r="I871" s="98">
        <v>409.316</v>
      </c>
      <c r="J871" s="99">
        <f t="shared" si="36"/>
        <v>85.63096234309623</v>
      </c>
    </row>
    <row r="872" spans="1:10" ht="15.75">
      <c r="A872" s="20" t="s">
        <v>88</v>
      </c>
      <c r="B872" s="21" t="s">
        <v>120</v>
      </c>
      <c r="C872" s="21" t="s">
        <v>22</v>
      </c>
      <c r="D872" s="21" t="s">
        <v>22</v>
      </c>
      <c r="E872" s="21" t="s">
        <v>770</v>
      </c>
      <c r="F872" s="21" t="s">
        <v>87</v>
      </c>
      <c r="G872" s="15"/>
      <c r="H872" s="98">
        <f>H873+H874</f>
        <v>3314</v>
      </c>
      <c r="I872" s="98">
        <f>I873+I874</f>
        <v>3064.2716100000002</v>
      </c>
      <c r="J872" s="99">
        <f t="shared" si="36"/>
        <v>92.46444206397103</v>
      </c>
    </row>
    <row r="873" spans="1:10" ht="31.5">
      <c r="A873" s="20" t="s">
        <v>92</v>
      </c>
      <c r="B873" s="21" t="s">
        <v>120</v>
      </c>
      <c r="C873" s="21" t="s">
        <v>22</v>
      </c>
      <c r="D873" s="21" t="s">
        <v>22</v>
      </c>
      <c r="E873" s="21" t="s">
        <v>770</v>
      </c>
      <c r="F873" s="21" t="s">
        <v>89</v>
      </c>
      <c r="G873" s="15"/>
      <c r="H873" s="98">
        <v>403.65091</v>
      </c>
      <c r="I873" s="98">
        <v>393.17369</v>
      </c>
      <c r="J873" s="99">
        <f t="shared" si="36"/>
        <v>97.40438588383215</v>
      </c>
    </row>
    <row r="874" spans="1:10" ht="15.75">
      <c r="A874" s="20" t="s">
        <v>140</v>
      </c>
      <c r="B874" s="21" t="s">
        <v>120</v>
      </c>
      <c r="C874" s="21" t="s">
        <v>22</v>
      </c>
      <c r="D874" s="21" t="s">
        <v>22</v>
      </c>
      <c r="E874" s="21" t="s">
        <v>770</v>
      </c>
      <c r="F874" s="21" t="s">
        <v>90</v>
      </c>
      <c r="G874" s="15"/>
      <c r="H874" s="98">
        <f>2822.34909+88</f>
        <v>2910.34909</v>
      </c>
      <c r="I874" s="98">
        <v>2671.09792</v>
      </c>
      <c r="J874" s="99">
        <f t="shared" si="36"/>
        <v>91.77929648295216</v>
      </c>
    </row>
    <row r="875" spans="1:10" ht="15.75">
      <c r="A875" s="20" t="s">
        <v>93</v>
      </c>
      <c r="B875" s="21" t="s">
        <v>120</v>
      </c>
      <c r="C875" s="21" t="s">
        <v>22</v>
      </c>
      <c r="D875" s="21" t="s">
        <v>22</v>
      </c>
      <c r="E875" s="21" t="s">
        <v>770</v>
      </c>
      <c r="F875" s="21" t="s">
        <v>94</v>
      </c>
      <c r="G875" s="15"/>
      <c r="H875" s="98">
        <f>H876+H877+H878</f>
        <v>176.255</v>
      </c>
      <c r="I875" s="98">
        <f>I876+I877+I878</f>
        <v>159.0194</v>
      </c>
      <c r="J875" s="99">
        <f t="shared" si="36"/>
        <v>90.22121358259339</v>
      </c>
    </row>
    <row r="876" spans="1:10" ht="15.75">
      <c r="A876" s="20" t="s">
        <v>97</v>
      </c>
      <c r="B876" s="21" t="s">
        <v>120</v>
      </c>
      <c r="C876" s="21" t="s">
        <v>22</v>
      </c>
      <c r="D876" s="21" t="s">
        <v>22</v>
      </c>
      <c r="E876" s="21" t="s">
        <v>770</v>
      </c>
      <c r="F876" s="21" t="s">
        <v>95</v>
      </c>
      <c r="G876" s="15"/>
      <c r="H876" s="98">
        <v>140</v>
      </c>
      <c r="I876" s="98">
        <v>123.711</v>
      </c>
      <c r="J876" s="99">
        <f t="shared" si="36"/>
        <v>88.365</v>
      </c>
    </row>
    <row r="877" spans="1:10" ht="15.75">
      <c r="A877" s="20" t="s">
        <v>233</v>
      </c>
      <c r="B877" s="21" t="s">
        <v>120</v>
      </c>
      <c r="C877" s="21" t="s">
        <v>22</v>
      </c>
      <c r="D877" s="21" t="s">
        <v>22</v>
      </c>
      <c r="E877" s="21" t="s">
        <v>770</v>
      </c>
      <c r="F877" s="21" t="s">
        <v>96</v>
      </c>
      <c r="G877" s="15"/>
      <c r="H877" s="98">
        <f>114.255-88</f>
        <v>26.254999999999995</v>
      </c>
      <c r="I877" s="98">
        <v>25.3084</v>
      </c>
      <c r="J877" s="99">
        <f t="shared" si="36"/>
        <v>96.39459150637974</v>
      </c>
    </row>
    <row r="878" spans="1:10" ht="15.75">
      <c r="A878" s="20" t="s">
        <v>270</v>
      </c>
      <c r="B878" s="21" t="s">
        <v>120</v>
      </c>
      <c r="C878" s="21" t="s">
        <v>22</v>
      </c>
      <c r="D878" s="21" t="s">
        <v>22</v>
      </c>
      <c r="E878" s="21" t="s">
        <v>770</v>
      </c>
      <c r="F878" s="21" t="s">
        <v>271</v>
      </c>
      <c r="G878" s="15"/>
      <c r="H878" s="98">
        <v>10</v>
      </c>
      <c r="I878" s="98">
        <v>10</v>
      </c>
      <c r="J878" s="99">
        <f>I878/H878*100</f>
        <v>100</v>
      </c>
    </row>
    <row r="879" spans="1:10" ht="15.75">
      <c r="A879" s="20" t="s">
        <v>34</v>
      </c>
      <c r="B879" s="21" t="s">
        <v>120</v>
      </c>
      <c r="C879" s="21" t="s">
        <v>20</v>
      </c>
      <c r="D879" s="21" t="s">
        <v>9</v>
      </c>
      <c r="E879" s="21"/>
      <c r="F879" s="21"/>
      <c r="G879" s="15"/>
      <c r="H879" s="98">
        <f aca="true" t="shared" si="38" ref="H879:I881">H880</f>
        <v>5.745</v>
      </c>
      <c r="I879" s="98">
        <f t="shared" si="38"/>
        <v>5.745</v>
      </c>
      <c r="J879" s="99">
        <f>I879/H879*100</f>
        <v>100</v>
      </c>
    </row>
    <row r="880" spans="1:10" ht="15.75">
      <c r="A880" s="20" t="s">
        <v>36</v>
      </c>
      <c r="B880" s="21" t="s">
        <v>120</v>
      </c>
      <c r="C880" s="21" t="s">
        <v>20</v>
      </c>
      <c r="D880" s="21" t="s">
        <v>10</v>
      </c>
      <c r="E880" s="21"/>
      <c r="F880" s="21"/>
      <c r="G880" s="15"/>
      <c r="H880" s="98">
        <f t="shared" si="38"/>
        <v>5.745</v>
      </c>
      <c r="I880" s="98">
        <f t="shared" si="38"/>
        <v>5.745</v>
      </c>
      <c r="J880" s="99">
        <f>I880/H880*100</f>
        <v>100</v>
      </c>
    </row>
    <row r="881" spans="1:10" ht="47.25">
      <c r="A881" s="20" t="s">
        <v>771</v>
      </c>
      <c r="B881" s="21" t="s">
        <v>120</v>
      </c>
      <c r="C881" s="21" t="s">
        <v>20</v>
      </c>
      <c r="D881" s="21" t="s">
        <v>10</v>
      </c>
      <c r="E881" s="21" t="s">
        <v>772</v>
      </c>
      <c r="F881" s="21"/>
      <c r="G881" s="15"/>
      <c r="H881" s="98">
        <f t="shared" si="38"/>
        <v>5.745</v>
      </c>
      <c r="I881" s="98">
        <f t="shared" si="38"/>
        <v>5.745</v>
      </c>
      <c r="J881" s="99">
        <f>I881/H881*100</f>
        <v>100</v>
      </c>
    </row>
    <row r="882" spans="1:10" ht="31.5">
      <c r="A882" s="20" t="s">
        <v>141</v>
      </c>
      <c r="B882" s="21" t="s">
        <v>120</v>
      </c>
      <c r="C882" s="21" t="s">
        <v>20</v>
      </c>
      <c r="D882" s="21" t="s">
        <v>10</v>
      </c>
      <c r="E882" s="21" t="s">
        <v>772</v>
      </c>
      <c r="F882" s="21" t="s">
        <v>104</v>
      </c>
      <c r="G882" s="15"/>
      <c r="H882" s="98">
        <v>5.745</v>
      </c>
      <c r="I882" s="98">
        <v>5.745</v>
      </c>
      <c r="J882" s="99">
        <f>I882/H882*100</f>
        <v>100</v>
      </c>
    </row>
    <row r="883" spans="1:10" ht="15.75">
      <c r="A883" s="30"/>
      <c r="B883" s="25"/>
      <c r="C883" s="25"/>
      <c r="D883" s="25"/>
      <c r="E883" s="25"/>
      <c r="F883" s="25"/>
      <c r="G883" s="32"/>
      <c r="H883" s="102"/>
      <c r="I883" s="102"/>
      <c r="J883" s="26"/>
    </row>
    <row r="884" spans="1:10" ht="15.75">
      <c r="A884" s="37"/>
      <c r="B884" s="41"/>
      <c r="C884" s="28"/>
      <c r="D884" s="28"/>
      <c r="E884" s="28"/>
      <c r="F884" s="28"/>
      <c r="G884" s="32"/>
      <c r="H884" s="103"/>
      <c r="I884" s="103"/>
      <c r="J884" s="29"/>
    </row>
    <row r="885" spans="1:10" ht="31.5">
      <c r="A885" s="13" t="s">
        <v>65</v>
      </c>
      <c r="B885" s="14" t="s">
        <v>121</v>
      </c>
      <c r="C885" s="17" t="s">
        <v>9</v>
      </c>
      <c r="D885" s="17" t="s">
        <v>9</v>
      </c>
      <c r="E885" s="14"/>
      <c r="F885" s="14"/>
      <c r="G885" s="19" t="e">
        <f>#REF!+#REF!+#REF!</f>
        <v>#REF!</v>
      </c>
      <c r="H885" s="104">
        <f>H886+H925+H939+H949</f>
        <v>39667.468</v>
      </c>
      <c r="I885" s="104">
        <f>I886+I925+I939+I949</f>
        <v>39470.464199999995</v>
      </c>
      <c r="J885" s="99">
        <f aca="true" t="shared" si="39" ref="J885:J948">I885/H885*100</f>
        <v>99.50336179763224</v>
      </c>
    </row>
    <row r="886" spans="1:10" ht="15.75">
      <c r="A886" s="20" t="s">
        <v>7</v>
      </c>
      <c r="B886" s="21" t="s">
        <v>121</v>
      </c>
      <c r="C886" s="21" t="s">
        <v>8</v>
      </c>
      <c r="D886" s="21" t="s">
        <v>9</v>
      </c>
      <c r="E886" s="21"/>
      <c r="F886" s="21"/>
      <c r="G886" s="15" t="e">
        <f>#REF!+#REF!+#REF!</f>
        <v>#REF!</v>
      </c>
      <c r="H886" s="98">
        <f>H887+H908</f>
        <v>19279.09386</v>
      </c>
      <c r="I886" s="98">
        <f>I887+I908</f>
        <v>19109.355059999998</v>
      </c>
      <c r="J886" s="99">
        <f t="shared" si="39"/>
        <v>99.11957065392905</v>
      </c>
    </row>
    <row r="887" spans="1:10" ht="47.25">
      <c r="A887" s="20" t="s">
        <v>11</v>
      </c>
      <c r="B887" s="21" t="s">
        <v>121</v>
      </c>
      <c r="C887" s="21" t="s">
        <v>8</v>
      </c>
      <c r="D887" s="21" t="s">
        <v>12</v>
      </c>
      <c r="E887" s="21"/>
      <c r="F887" s="21"/>
      <c r="G887" s="15" t="e">
        <f>#REF!+#REF!+#REF!</f>
        <v>#REF!</v>
      </c>
      <c r="H887" s="98">
        <f>+H889</f>
        <v>15647.642000000002</v>
      </c>
      <c r="I887" s="98">
        <f>+I889</f>
        <v>15590.735359999997</v>
      </c>
      <c r="J887" s="99">
        <f t="shared" si="39"/>
        <v>99.6363245018003</v>
      </c>
    </row>
    <row r="888" spans="1:10" ht="47.25">
      <c r="A888" s="20" t="s">
        <v>773</v>
      </c>
      <c r="B888" s="21" t="s">
        <v>121</v>
      </c>
      <c r="C888" s="21" t="s">
        <v>8</v>
      </c>
      <c r="D888" s="21" t="s">
        <v>12</v>
      </c>
      <c r="E888" s="21" t="s">
        <v>774</v>
      </c>
      <c r="F888" s="21"/>
      <c r="G888" s="15"/>
      <c r="H888" s="98">
        <f>H889</f>
        <v>15647.642000000002</v>
      </c>
      <c r="I888" s="98">
        <f>I889</f>
        <v>15590.735359999997</v>
      </c>
      <c r="J888" s="99">
        <f t="shared" si="39"/>
        <v>99.6363245018003</v>
      </c>
    </row>
    <row r="889" spans="1:10" ht="31.5">
      <c r="A889" s="20" t="s">
        <v>775</v>
      </c>
      <c r="B889" s="21" t="s">
        <v>121</v>
      </c>
      <c r="C889" s="21" t="s">
        <v>8</v>
      </c>
      <c r="D889" s="21" t="s">
        <v>12</v>
      </c>
      <c r="E889" s="21" t="s">
        <v>776</v>
      </c>
      <c r="F889" s="21"/>
      <c r="G889" s="15"/>
      <c r="H889" s="98">
        <f>H890+H906</f>
        <v>15647.642000000002</v>
      </c>
      <c r="I889" s="98">
        <f>I890+I906</f>
        <v>15590.735359999997</v>
      </c>
      <c r="J889" s="99">
        <f t="shared" si="39"/>
        <v>99.6363245018003</v>
      </c>
    </row>
    <row r="890" spans="1:10" ht="47.25">
      <c r="A890" s="20" t="s">
        <v>777</v>
      </c>
      <c r="B890" s="21" t="s">
        <v>121</v>
      </c>
      <c r="C890" s="21" t="s">
        <v>8</v>
      </c>
      <c r="D890" s="21" t="s">
        <v>12</v>
      </c>
      <c r="E890" s="21" t="s">
        <v>778</v>
      </c>
      <c r="F890" s="21"/>
      <c r="G890" s="15"/>
      <c r="H890" s="98">
        <f>H891+H897</f>
        <v>15631.039120000001</v>
      </c>
      <c r="I890" s="98">
        <f>I891+I897</f>
        <v>15574.132479999997</v>
      </c>
      <c r="J890" s="99">
        <f t="shared" si="39"/>
        <v>99.63593821521954</v>
      </c>
    </row>
    <row r="891" spans="1:10" ht="47.25">
      <c r="A891" s="20" t="s">
        <v>779</v>
      </c>
      <c r="B891" s="21" t="s">
        <v>121</v>
      </c>
      <c r="C891" s="21" t="s">
        <v>8</v>
      </c>
      <c r="D891" s="21" t="s">
        <v>12</v>
      </c>
      <c r="E891" s="21" t="s">
        <v>780</v>
      </c>
      <c r="F891" s="21"/>
      <c r="G891" s="15"/>
      <c r="H891" s="98">
        <f>H892</f>
        <v>14297.956320000001</v>
      </c>
      <c r="I891" s="98">
        <f>I892</f>
        <v>14241.341679999998</v>
      </c>
      <c r="J891" s="99">
        <f t="shared" si="39"/>
        <v>99.60403683762266</v>
      </c>
    </row>
    <row r="892" spans="1:10" ht="15.75">
      <c r="A892" s="20" t="s">
        <v>137</v>
      </c>
      <c r="B892" s="21" t="s">
        <v>121</v>
      </c>
      <c r="C892" s="21" t="s">
        <v>8</v>
      </c>
      <c r="D892" s="21" t="s">
        <v>12</v>
      </c>
      <c r="E892" s="21" t="s">
        <v>780</v>
      </c>
      <c r="F892" s="21" t="s">
        <v>81</v>
      </c>
      <c r="G892" s="15"/>
      <c r="H892" s="98">
        <f>H893+H895+H896+H894</f>
        <v>14297.956320000001</v>
      </c>
      <c r="I892" s="98">
        <f>I893+I895+I896+I894</f>
        <v>14241.341679999998</v>
      </c>
      <c r="J892" s="99">
        <f t="shared" si="39"/>
        <v>99.60403683762266</v>
      </c>
    </row>
    <row r="893" spans="1:10" ht="15.75">
      <c r="A893" s="20" t="s">
        <v>191</v>
      </c>
      <c r="B893" s="21" t="s">
        <v>121</v>
      </c>
      <c r="C893" s="21" t="s">
        <v>8</v>
      </c>
      <c r="D893" s="21" t="s">
        <v>12</v>
      </c>
      <c r="E893" s="21" t="s">
        <v>780</v>
      </c>
      <c r="F893" s="21" t="s">
        <v>83</v>
      </c>
      <c r="G893" s="15"/>
      <c r="H893" s="98">
        <f>11011.7-28.358</f>
        <v>10983.342</v>
      </c>
      <c r="I893" s="98">
        <v>10927.79128</v>
      </c>
      <c r="J893" s="99">
        <f t="shared" si="39"/>
        <v>99.49422753111028</v>
      </c>
    </row>
    <row r="894" spans="1:10" ht="31.5">
      <c r="A894" s="20" t="s">
        <v>138</v>
      </c>
      <c r="B894" s="21" t="s">
        <v>121</v>
      </c>
      <c r="C894" s="21" t="s">
        <v>8</v>
      </c>
      <c r="D894" s="21" t="s">
        <v>12</v>
      </c>
      <c r="E894" s="21" t="s">
        <v>780</v>
      </c>
      <c r="F894" s="21" t="s">
        <v>85</v>
      </c>
      <c r="G894" s="15"/>
      <c r="H894" s="98">
        <f>80.387-3.46</f>
        <v>76.927</v>
      </c>
      <c r="I894" s="98">
        <v>75.86308</v>
      </c>
      <c r="J894" s="99">
        <f t="shared" si="39"/>
        <v>98.61697453429873</v>
      </c>
    </row>
    <row r="895" spans="1:10" ht="47.25" hidden="1">
      <c r="A895" s="20" t="s">
        <v>128</v>
      </c>
      <c r="B895" s="21" t="s">
        <v>121</v>
      </c>
      <c r="C895" s="21" t="s">
        <v>8</v>
      </c>
      <c r="D895" s="21" t="s">
        <v>12</v>
      </c>
      <c r="E895" s="21" t="s">
        <v>780</v>
      </c>
      <c r="F895" s="21" t="s">
        <v>127</v>
      </c>
      <c r="G895" s="15"/>
      <c r="H895" s="98"/>
      <c r="I895" s="98"/>
      <c r="J895" s="99" t="e">
        <f t="shared" si="39"/>
        <v>#DIV/0!</v>
      </c>
    </row>
    <row r="896" spans="1:10" ht="31.5">
      <c r="A896" s="20" t="s">
        <v>192</v>
      </c>
      <c r="B896" s="21" t="s">
        <v>121</v>
      </c>
      <c r="C896" s="21" t="s">
        <v>8</v>
      </c>
      <c r="D896" s="21" t="s">
        <v>12</v>
      </c>
      <c r="E896" s="21" t="s">
        <v>780</v>
      </c>
      <c r="F896" s="21" t="s">
        <v>193</v>
      </c>
      <c r="G896" s="15"/>
      <c r="H896" s="98">
        <f>3220+17.68732</f>
        <v>3237.68732</v>
      </c>
      <c r="I896" s="98">
        <f>3220+17.68732</f>
        <v>3237.68732</v>
      </c>
      <c r="J896" s="99">
        <f t="shared" si="39"/>
        <v>100</v>
      </c>
    </row>
    <row r="897" spans="1:10" ht="47.25">
      <c r="A897" s="20" t="s">
        <v>781</v>
      </c>
      <c r="B897" s="21" t="s">
        <v>121</v>
      </c>
      <c r="C897" s="21" t="s">
        <v>8</v>
      </c>
      <c r="D897" s="21" t="s">
        <v>12</v>
      </c>
      <c r="E897" s="21" t="s">
        <v>782</v>
      </c>
      <c r="F897" s="21"/>
      <c r="G897" s="15"/>
      <c r="H897" s="98">
        <f>H900+H903+H898</f>
        <v>1333.0828</v>
      </c>
      <c r="I897" s="98">
        <f>I900+I903+I898</f>
        <v>1332.7907999999998</v>
      </c>
      <c r="J897" s="99">
        <f t="shared" si="39"/>
        <v>99.97809588421663</v>
      </c>
    </row>
    <row r="898" spans="1:10" ht="15.75">
      <c r="A898" s="20" t="s">
        <v>137</v>
      </c>
      <c r="B898" s="21" t="s">
        <v>121</v>
      </c>
      <c r="C898" s="21" t="s">
        <v>8</v>
      </c>
      <c r="D898" s="21" t="s">
        <v>12</v>
      </c>
      <c r="E898" s="21" t="s">
        <v>782</v>
      </c>
      <c r="F898" s="21" t="s">
        <v>81</v>
      </c>
      <c r="G898" s="15"/>
      <c r="H898" s="98">
        <f>H899</f>
        <v>346.03098</v>
      </c>
      <c r="I898" s="98">
        <f>I899</f>
        <v>346.03098</v>
      </c>
      <c r="J898" s="99">
        <f t="shared" si="39"/>
        <v>100</v>
      </c>
    </row>
    <row r="899" spans="1:10" ht="31.5">
      <c r="A899" s="20" t="s">
        <v>138</v>
      </c>
      <c r="B899" s="21" t="s">
        <v>121</v>
      </c>
      <c r="C899" s="21" t="s">
        <v>8</v>
      </c>
      <c r="D899" s="21" t="s">
        <v>12</v>
      </c>
      <c r="E899" s="21" t="s">
        <v>782</v>
      </c>
      <c r="F899" s="21" t="s">
        <v>85</v>
      </c>
      <c r="G899" s="15"/>
      <c r="H899" s="98">
        <f>370.7-24.66902</f>
        <v>346.03098</v>
      </c>
      <c r="I899" s="98">
        <f>370.7-24.66902</f>
        <v>346.03098</v>
      </c>
      <c r="J899" s="99">
        <f t="shared" si="39"/>
        <v>100</v>
      </c>
    </row>
    <row r="900" spans="1:10" ht="15.75">
      <c r="A900" s="20" t="s">
        <v>152</v>
      </c>
      <c r="B900" s="21" t="s">
        <v>121</v>
      </c>
      <c r="C900" s="21" t="s">
        <v>8</v>
      </c>
      <c r="D900" s="21" t="s">
        <v>12</v>
      </c>
      <c r="E900" s="21" t="s">
        <v>782</v>
      </c>
      <c r="F900" s="21" t="s">
        <v>87</v>
      </c>
      <c r="G900" s="15"/>
      <c r="H900" s="98">
        <f>H901+H902</f>
        <v>985.5518199999999</v>
      </c>
      <c r="I900" s="98">
        <f>I901+I902</f>
        <v>985.5518199999999</v>
      </c>
      <c r="J900" s="99">
        <f t="shared" si="39"/>
        <v>100</v>
      </c>
    </row>
    <row r="901" spans="1:10" ht="31.5">
      <c r="A901" s="20" t="s">
        <v>92</v>
      </c>
      <c r="B901" s="21" t="s">
        <v>121</v>
      </c>
      <c r="C901" s="21" t="s">
        <v>8</v>
      </c>
      <c r="D901" s="21" t="s">
        <v>12</v>
      </c>
      <c r="E901" s="21" t="s">
        <v>782</v>
      </c>
      <c r="F901" s="21" t="s">
        <v>89</v>
      </c>
      <c r="G901" s="15"/>
      <c r="H901" s="98">
        <f>416.89712-4.345</f>
        <v>412.55211999999995</v>
      </c>
      <c r="I901" s="98">
        <f>416.89712-4.345</f>
        <v>412.55211999999995</v>
      </c>
      <c r="J901" s="99">
        <f t="shared" si="39"/>
        <v>100</v>
      </c>
    </row>
    <row r="902" spans="1:10" ht="15.75">
      <c r="A902" s="20" t="s">
        <v>140</v>
      </c>
      <c r="B902" s="21" t="s">
        <v>121</v>
      </c>
      <c r="C902" s="21" t="s">
        <v>8</v>
      </c>
      <c r="D902" s="21" t="s">
        <v>12</v>
      </c>
      <c r="E902" s="21" t="s">
        <v>782</v>
      </c>
      <c r="F902" s="21" t="s">
        <v>90</v>
      </c>
      <c r="G902" s="15"/>
      <c r="H902" s="98">
        <f>558.213+14.7867</f>
        <v>572.9997</v>
      </c>
      <c r="I902" s="98">
        <f>558.213+14.7867</f>
        <v>572.9997</v>
      </c>
      <c r="J902" s="99">
        <f t="shared" si="39"/>
        <v>100</v>
      </c>
    </row>
    <row r="903" spans="1:10" ht="15.75">
      <c r="A903" s="20" t="s">
        <v>93</v>
      </c>
      <c r="B903" s="21" t="s">
        <v>121</v>
      </c>
      <c r="C903" s="21" t="s">
        <v>8</v>
      </c>
      <c r="D903" s="21" t="s">
        <v>12</v>
      </c>
      <c r="E903" s="21" t="s">
        <v>782</v>
      </c>
      <c r="F903" s="21" t="s">
        <v>94</v>
      </c>
      <c r="G903" s="15"/>
      <c r="H903" s="98">
        <f>H904+H905</f>
        <v>1.5</v>
      </c>
      <c r="I903" s="98">
        <f>I904+I905</f>
        <v>1.208</v>
      </c>
      <c r="J903" s="99">
        <f t="shared" si="39"/>
        <v>80.53333333333333</v>
      </c>
    </row>
    <row r="904" spans="1:10" ht="15.75">
      <c r="A904" s="20" t="s">
        <v>97</v>
      </c>
      <c r="B904" s="21" t="s">
        <v>121</v>
      </c>
      <c r="C904" s="21" t="s">
        <v>8</v>
      </c>
      <c r="D904" s="21" t="s">
        <v>12</v>
      </c>
      <c r="E904" s="21" t="s">
        <v>782</v>
      </c>
      <c r="F904" s="21" t="s">
        <v>95</v>
      </c>
      <c r="G904" s="15"/>
      <c r="H904" s="98">
        <v>0.5</v>
      </c>
      <c r="I904" s="98">
        <v>0.208</v>
      </c>
      <c r="J904" s="99">
        <f t="shared" si="39"/>
        <v>41.6</v>
      </c>
    </row>
    <row r="905" spans="1:10" ht="15.75">
      <c r="A905" s="20" t="s">
        <v>233</v>
      </c>
      <c r="B905" s="21" t="s">
        <v>121</v>
      </c>
      <c r="C905" s="21" t="s">
        <v>8</v>
      </c>
      <c r="D905" s="21" t="s">
        <v>12</v>
      </c>
      <c r="E905" s="21" t="s">
        <v>782</v>
      </c>
      <c r="F905" s="21" t="s">
        <v>96</v>
      </c>
      <c r="G905" s="15"/>
      <c r="H905" s="98">
        <v>1</v>
      </c>
      <c r="I905" s="98">
        <v>1</v>
      </c>
      <c r="J905" s="99">
        <f t="shared" si="39"/>
        <v>100</v>
      </c>
    </row>
    <row r="906" spans="1:10" ht="47.25">
      <c r="A906" s="20" t="s">
        <v>783</v>
      </c>
      <c r="B906" s="21" t="s">
        <v>121</v>
      </c>
      <c r="C906" s="21" t="s">
        <v>8</v>
      </c>
      <c r="D906" s="21" t="s">
        <v>12</v>
      </c>
      <c r="E906" s="21" t="s">
        <v>784</v>
      </c>
      <c r="F906" s="21"/>
      <c r="G906" s="15"/>
      <c r="H906" s="98">
        <f>H907</f>
        <v>16.60288</v>
      </c>
      <c r="I906" s="98">
        <f>I907</f>
        <v>16.60288</v>
      </c>
      <c r="J906" s="99">
        <f t="shared" si="39"/>
        <v>100</v>
      </c>
    </row>
    <row r="907" spans="1:10" ht="15.75">
      <c r="A907" s="20" t="s">
        <v>140</v>
      </c>
      <c r="B907" s="21" t="s">
        <v>121</v>
      </c>
      <c r="C907" s="21" t="s">
        <v>8</v>
      </c>
      <c r="D907" s="21" t="s">
        <v>12</v>
      </c>
      <c r="E907" s="21" t="s">
        <v>784</v>
      </c>
      <c r="F907" s="21" t="s">
        <v>90</v>
      </c>
      <c r="G907" s="15"/>
      <c r="H907" s="98">
        <v>16.60288</v>
      </c>
      <c r="I907" s="98">
        <v>16.60288</v>
      </c>
      <c r="J907" s="99">
        <f t="shared" si="39"/>
        <v>100</v>
      </c>
    </row>
    <row r="908" spans="1:10" ht="15.75">
      <c r="A908" s="20" t="s">
        <v>17</v>
      </c>
      <c r="B908" s="21" t="s">
        <v>121</v>
      </c>
      <c r="C908" s="21" t="s">
        <v>8</v>
      </c>
      <c r="D908" s="21" t="s">
        <v>70</v>
      </c>
      <c r="E908" s="21"/>
      <c r="F908" s="21"/>
      <c r="G908" s="15" t="e">
        <f>#REF!+#REF!+#REF!</f>
        <v>#REF!</v>
      </c>
      <c r="H908" s="99">
        <f>+H916+H909+H914</f>
        <v>3631.45186</v>
      </c>
      <c r="I908" s="99">
        <f>+I916+I909+I914</f>
        <v>3518.6197</v>
      </c>
      <c r="J908" s="99">
        <f t="shared" si="39"/>
        <v>96.89291874572723</v>
      </c>
    </row>
    <row r="909" spans="1:10" ht="15.75">
      <c r="A909" s="54" t="s">
        <v>785</v>
      </c>
      <c r="B909" s="21" t="s">
        <v>121</v>
      </c>
      <c r="C909" s="21" t="s">
        <v>8</v>
      </c>
      <c r="D909" s="21" t="s">
        <v>70</v>
      </c>
      <c r="E909" s="21" t="s">
        <v>786</v>
      </c>
      <c r="F909" s="21"/>
      <c r="G909" s="15"/>
      <c r="H909" s="98">
        <f>H910+H912</f>
        <v>1000</v>
      </c>
      <c r="I909" s="98">
        <f>I910+I912</f>
        <v>887.51994</v>
      </c>
      <c r="J909" s="99">
        <f t="shared" si="39"/>
        <v>88.751994</v>
      </c>
    </row>
    <row r="910" spans="1:10" ht="31.5">
      <c r="A910" s="54" t="s">
        <v>787</v>
      </c>
      <c r="B910" s="21" t="s">
        <v>121</v>
      </c>
      <c r="C910" s="21" t="s">
        <v>8</v>
      </c>
      <c r="D910" s="21" t="s">
        <v>70</v>
      </c>
      <c r="E910" s="21" t="s">
        <v>788</v>
      </c>
      <c r="F910" s="21"/>
      <c r="G910" s="15"/>
      <c r="H910" s="98">
        <f>H911</f>
        <v>1000</v>
      </c>
      <c r="I910" s="98">
        <f>I911</f>
        <v>887.51994</v>
      </c>
      <c r="J910" s="99">
        <f t="shared" si="39"/>
        <v>88.751994</v>
      </c>
    </row>
    <row r="911" spans="1:10" ht="31.5">
      <c r="A911" s="20" t="s">
        <v>92</v>
      </c>
      <c r="B911" s="21" t="s">
        <v>121</v>
      </c>
      <c r="C911" s="21" t="s">
        <v>8</v>
      </c>
      <c r="D911" s="21" t="s">
        <v>70</v>
      </c>
      <c r="E911" s="21" t="s">
        <v>788</v>
      </c>
      <c r="F911" s="21" t="s">
        <v>89</v>
      </c>
      <c r="G911" s="15"/>
      <c r="H911" s="98">
        <v>1000</v>
      </c>
      <c r="I911" s="98">
        <v>887.51994</v>
      </c>
      <c r="J911" s="99">
        <f t="shared" si="39"/>
        <v>88.751994</v>
      </c>
    </row>
    <row r="912" spans="1:10" ht="47.25" hidden="1">
      <c r="A912" s="54" t="s">
        <v>789</v>
      </c>
      <c r="B912" s="21" t="s">
        <v>121</v>
      </c>
      <c r="C912" s="21" t="s">
        <v>8</v>
      </c>
      <c r="D912" s="21" t="s">
        <v>70</v>
      </c>
      <c r="E912" s="21" t="s">
        <v>790</v>
      </c>
      <c r="F912" s="21"/>
      <c r="G912" s="15"/>
      <c r="H912" s="98">
        <f>H913</f>
        <v>0</v>
      </c>
      <c r="I912" s="98">
        <f>I913</f>
        <v>0</v>
      </c>
      <c r="J912" s="99" t="e">
        <f t="shared" si="39"/>
        <v>#DIV/0!</v>
      </c>
    </row>
    <row r="913" spans="1:10" ht="15.75" hidden="1">
      <c r="A913" s="20" t="s">
        <v>140</v>
      </c>
      <c r="B913" s="21" t="s">
        <v>121</v>
      </c>
      <c r="C913" s="21" t="s">
        <v>8</v>
      </c>
      <c r="D913" s="21" t="s">
        <v>70</v>
      </c>
      <c r="E913" s="21" t="s">
        <v>790</v>
      </c>
      <c r="F913" s="21" t="s">
        <v>90</v>
      </c>
      <c r="G913" s="15"/>
      <c r="H913" s="98"/>
      <c r="I913" s="98"/>
      <c r="J913" s="99" t="e">
        <f t="shared" si="39"/>
        <v>#DIV/0!</v>
      </c>
    </row>
    <row r="914" spans="1:10" ht="47.25">
      <c r="A914" s="78" t="s">
        <v>791</v>
      </c>
      <c r="B914" s="21" t="s">
        <v>121</v>
      </c>
      <c r="C914" s="21" t="s">
        <v>8</v>
      </c>
      <c r="D914" s="21" t="s">
        <v>70</v>
      </c>
      <c r="E914" s="21" t="s">
        <v>792</v>
      </c>
      <c r="F914" s="88"/>
      <c r="G914" s="89">
        <v>170.3</v>
      </c>
      <c r="H914" s="98">
        <f>H915</f>
        <v>16.001</v>
      </c>
      <c r="I914" s="98">
        <f>I915</f>
        <v>16.001</v>
      </c>
      <c r="J914" s="99">
        <f t="shared" si="39"/>
        <v>100</v>
      </c>
    </row>
    <row r="915" spans="1:10" ht="15.75">
      <c r="A915" s="20" t="s">
        <v>109</v>
      </c>
      <c r="B915" s="21" t="s">
        <v>121</v>
      </c>
      <c r="C915" s="21" t="s">
        <v>8</v>
      </c>
      <c r="D915" s="21" t="s">
        <v>70</v>
      </c>
      <c r="E915" s="21" t="s">
        <v>792</v>
      </c>
      <c r="F915" s="21" t="s">
        <v>108</v>
      </c>
      <c r="G915" s="90"/>
      <c r="H915" s="99">
        <v>16.001</v>
      </c>
      <c r="I915" s="99">
        <v>16.001</v>
      </c>
      <c r="J915" s="99">
        <f t="shared" si="39"/>
        <v>100</v>
      </c>
    </row>
    <row r="916" spans="1:10" ht="47.25">
      <c r="A916" s="20" t="s">
        <v>773</v>
      </c>
      <c r="B916" s="21" t="s">
        <v>121</v>
      </c>
      <c r="C916" s="21" t="s">
        <v>8</v>
      </c>
      <c r="D916" s="21" t="s">
        <v>70</v>
      </c>
      <c r="E916" s="21" t="s">
        <v>774</v>
      </c>
      <c r="F916" s="21"/>
      <c r="G916" s="15"/>
      <c r="H916" s="98">
        <f aca="true" t="shared" si="40" ref="H916:I918">H917</f>
        <v>2615.45086</v>
      </c>
      <c r="I916" s="98">
        <f t="shared" si="40"/>
        <v>2615.09876</v>
      </c>
      <c r="J916" s="99">
        <f t="shared" si="39"/>
        <v>99.98653769392554</v>
      </c>
    </row>
    <row r="917" spans="1:10" ht="47.25">
      <c r="A917" s="20" t="s">
        <v>793</v>
      </c>
      <c r="B917" s="21" t="s">
        <v>121</v>
      </c>
      <c r="C917" s="21" t="s">
        <v>8</v>
      </c>
      <c r="D917" s="21" t="s">
        <v>70</v>
      </c>
      <c r="E917" s="21" t="s">
        <v>794</v>
      </c>
      <c r="F917" s="21"/>
      <c r="G917" s="15"/>
      <c r="H917" s="98">
        <f>H918+H922</f>
        <v>2615.45086</v>
      </c>
      <c r="I917" s="98">
        <f>I918+I922</f>
        <v>2615.09876</v>
      </c>
      <c r="J917" s="99">
        <f t="shared" si="39"/>
        <v>99.98653769392554</v>
      </c>
    </row>
    <row r="918" spans="1:10" ht="31.5">
      <c r="A918" s="20" t="s">
        <v>795</v>
      </c>
      <c r="B918" s="21" t="s">
        <v>121</v>
      </c>
      <c r="C918" s="21" t="s">
        <v>8</v>
      </c>
      <c r="D918" s="21" t="s">
        <v>70</v>
      </c>
      <c r="E918" s="21" t="s">
        <v>796</v>
      </c>
      <c r="F918" s="21"/>
      <c r="G918" s="15"/>
      <c r="H918" s="98">
        <f t="shared" si="40"/>
        <v>2560.89876</v>
      </c>
      <c r="I918" s="98">
        <f t="shared" si="40"/>
        <v>2560.89876</v>
      </c>
      <c r="J918" s="99">
        <f t="shared" si="39"/>
        <v>100</v>
      </c>
    </row>
    <row r="919" spans="1:10" ht="15.75">
      <c r="A919" s="20" t="s">
        <v>797</v>
      </c>
      <c r="B919" s="21" t="s">
        <v>121</v>
      </c>
      <c r="C919" s="21" t="s">
        <v>8</v>
      </c>
      <c r="D919" s="21" t="s">
        <v>70</v>
      </c>
      <c r="E919" s="21" t="s">
        <v>798</v>
      </c>
      <c r="F919" s="21"/>
      <c r="G919" s="15"/>
      <c r="H919" s="98">
        <f>H921+H920</f>
        <v>2560.89876</v>
      </c>
      <c r="I919" s="98">
        <f>I921+I920</f>
        <v>2560.89876</v>
      </c>
      <c r="J919" s="99">
        <f t="shared" si="39"/>
        <v>100</v>
      </c>
    </row>
    <row r="920" spans="1:10" ht="15.75">
      <c r="A920" s="20" t="s">
        <v>140</v>
      </c>
      <c r="B920" s="21" t="s">
        <v>121</v>
      </c>
      <c r="C920" s="21" t="s">
        <v>8</v>
      </c>
      <c r="D920" s="21" t="s">
        <v>70</v>
      </c>
      <c r="E920" s="21" t="s">
        <v>798</v>
      </c>
      <c r="F920" s="21" t="s">
        <v>89</v>
      </c>
      <c r="G920" s="15"/>
      <c r="H920" s="98">
        <v>50</v>
      </c>
      <c r="I920" s="98">
        <v>50</v>
      </c>
      <c r="J920" s="99">
        <f t="shared" si="39"/>
        <v>100</v>
      </c>
    </row>
    <row r="921" spans="1:10" ht="15.75">
      <c r="A921" s="20" t="s">
        <v>140</v>
      </c>
      <c r="B921" s="21" t="s">
        <v>121</v>
      </c>
      <c r="C921" s="21" t="s">
        <v>8</v>
      </c>
      <c r="D921" s="21" t="s">
        <v>70</v>
      </c>
      <c r="E921" s="21" t="s">
        <v>798</v>
      </c>
      <c r="F921" s="21" t="s">
        <v>90</v>
      </c>
      <c r="G921" s="15"/>
      <c r="H921" s="98">
        <f>2406.2515+57.64726+47</f>
        <v>2510.89876</v>
      </c>
      <c r="I921" s="98">
        <f>2406.2515+57.64726+47</f>
        <v>2510.89876</v>
      </c>
      <c r="J921" s="99">
        <f t="shared" si="39"/>
        <v>100</v>
      </c>
    </row>
    <row r="922" spans="1:10" ht="78.75">
      <c r="A922" s="20" t="s">
        <v>799</v>
      </c>
      <c r="B922" s="21" t="s">
        <v>121</v>
      </c>
      <c r="C922" s="21" t="s">
        <v>8</v>
      </c>
      <c r="D922" s="21" t="s">
        <v>70</v>
      </c>
      <c r="E922" s="21" t="s">
        <v>800</v>
      </c>
      <c r="F922" s="21"/>
      <c r="G922" s="15"/>
      <c r="H922" s="98">
        <f>H923+H924</f>
        <v>54.5521</v>
      </c>
      <c r="I922" s="98">
        <f>I923+I924</f>
        <v>54.2</v>
      </c>
      <c r="J922" s="99">
        <f t="shared" si="39"/>
        <v>99.35456196920008</v>
      </c>
    </row>
    <row r="923" spans="1:10" ht="15.75">
      <c r="A923" s="20" t="s">
        <v>140</v>
      </c>
      <c r="B923" s="21" t="s">
        <v>121</v>
      </c>
      <c r="C923" s="21" t="s">
        <v>8</v>
      </c>
      <c r="D923" s="21" t="s">
        <v>70</v>
      </c>
      <c r="E923" s="21" t="s">
        <v>800</v>
      </c>
      <c r="F923" s="21" t="s">
        <v>90</v>
      </c>
      <c r="G923" s="15"/>
      <c r="H923" s="98">
        <v>53</v>
      </c>
      <c r="I923" s="98">
        <v>53</v>
      </c>
      <c r="J923" s="99">
        <f t="shared" si="39"/>
        <v>100</v>
      </c>
    </row>
    <row r="924" spans="1:10" ht="15.75">
      <c r="A924" s="20" t="s">
        <v>109</v>
      </c>
      <c r="B924" s="21" t="s">
        <v>121</v>
      </c>
      <c r="C924" s="21" t="s">
        <v>8</v>
      </c>
      <c r="D924" s="21" t="s">
        <v>70</v>
      </c>
      <c r="E924" s="21" t="s">
        <v>800</v>
      </c>
      <c r="F924" s="21" t="s">
        <v>108</v>
      </c>
      <c r="G924" s="15"/>
      <c r="H924" s="98">
        <v>1.5521</v>
      </c>
      <c r="I924" s="98">
        <v>1.2</v>
      </c>
      <c r="J924" s="99">
        <f t="shared" si="39"/>
        <v>77.3146060176535</v>
      </c>
    </row>
    <row r="925" spans="1:10" ht="15.75">
      <c r="A925" s="20" t="s">
        <v>43</v>
      </c>
      <c r="B925" s="21" t="s">
        <v>121</v>
      </c>
      <c r="C925" s="21" t="s">
        <v>12</v>
      </c>
      <c r="D925" s="21" t="s">
        <v>9</v>
      </c>
      <c r="E925" s="21"/>
      <c r="F925" s="21"/>
      <c r="G925" s="15" t="e">
        <f>#REF!+#REF!+#REF!</f>
        <v>#REF!</v>
      </c>
      <c r="H925" s="98">
        <f>H926</f>
        <v>2477.1747400000004</v>
      </c>
      <c r="I925" s="98">
        <f>I926</f>
        <v>2452.40974</v>
      </c>
      <c r="J925" s="99">
        <f t="shared" si="39"/>
        <v>99.00027238288405</v>
      </c>
    </row>
    <row r="926" spans="1:10" ht="47.25">
      <c r="A926" s="20" t="s">
        <v>773</v>
      </c>
      <c r="B926" s="21" t="s">
        <v>121</v>
      </c>
      <c r="C926" s="21" t="s">
        <v>12</v>
      </c>
      <c r="D926" s="21" t="s">
        <v>15</v>
      </c>
      <c r="E926" s="21" t="s">
        <v>774</v>
      </c>
      <c r="F926" s="21"/>
      <c r="G926" s="15" t="e">
        <f>#REF!+#REF!+#REF!</f>
        <v>#REF!</v>
      </c>
      <c r="H926" s="98">
        <f aca="true" t="shared" si="41" ref="H926:I928">H927</f>
        <v>2477.1747400000004</v>
      </c>
      <c r="I926" s="98">
        <f t="shared" si="41"/>
        <v>2452.40974</v>
      </c>
      <c r="J926" s="99">
        <f t="shared" si="39"/>
        <v>99.00027238288405</v>
      </c>
    </row>
    <row r="927" spans="1:10" ht="47.25">
      <c r="A927" s="20" t="s">
        <v>793</v>
      </c>
      <c r="B927" s="21" t="s">
        <v>121</v>
      </c>
      <c r="C927" s="21" t="s">
        <v>12</v>
      </c>
      <c r="D927" s="21" t="s">
        <v>15</v>
      </c>
      <c r="E927" s="21" t="s">
        <v>794</v>
      </c>
      <c r="F927" s="21"/>
      <c r="G927" s="15" t="e">
        <f>#REF!+#REF!+#REF!</f>
        <v>#REF!</v>
      </c>
      <c r="H927" s="98">
        <f>H928+H933</f>
        <v>2477.1747400000004</v>
      </c>
      <c r="I927" s="98">
        <f>I928+I933</f>
        <v>2452.40974</v>
      </c>
      <c r="J927" s="99">
        <f t="shared" si="39"/>
        <v>99.00027238288405</v>
      </c>
    </row>
    <row r="928" spans="1:10" ht="31.5">
      <c r="A928" s="20" t="s">
        <v>801</v>
      </c>
      <c r="B928" s="21" t="s">
        <v>121</v>
      </c>
      <c r="C928" s="21" t="s">
        <v>12</v>
      </c>
      <c r="D928" s="21" t="s">
        <v>15</v>
      </c>
      <c r="E928" s="21" t="s">
        <v>802</v>
      </c>
      <c r="F928" s="21"/>
      <c r="G928" s="15"/>
      <c r="H928" s="98">
        <f t="shared" si="41"/>
        <v>930</v>
      </c>
      <c r="I928" s="98">
        <f t="shared" si="41"/>
        <v>930</v>
      </c>
      <c r="J928" s="99">
        <f t="shared" si="39"/>
        <v>100</v>
      </c>
    </row>
    <row r="929" spans="1:10" ht="15.75">
      <c r="A929" s="20" t="s">
        <v>88</v>
      </c>
      <c r="B929" s="21" t="s">
        <v>121</v>
      </c>
      <c r="C929" s="21" t="s">
        <v>12</v>
      </c>
      <c r="D929" s="21" t="s">
        <v>15</v>
      </c>
      <c r="E929" s="21" t="s">
        <v>802</v>
      </c>
      <c r="F929" s="21" t="s">
        <v>87</v>
      </c>
      <c r="G929" s="15"/>
      <c r="H929" s="98">
        <f>H931+H930+H932</f>
        <v>930</v>
      </c>
      <c r="I929" s="98">
        <f>I931+I930+I932</f>
        <v>930</v>
      </c>
      <c r="J929" s="99">
        <f t="shared" si="39"/>
        <v>100</v>
      </c>
    </row>
    <row r="930" spans="1:10" ht="31.5" hidden="1">
      <c r="A930" s="20" t="s">
        <v>92</v>
      </c>
      <c r="B930" s="21" t="s">
        <v>121</v>
      </c>
      <c r="C930" s="21" t="s">
        <v>12</v>
      </c>
      <c r="D930" s="21" t="s">
        <v>15</v>
      </c>
      <c r="E930" s="21" t="s">
        <v>802</v>
      </c>
      <c r="F930" s="21" t="s">
        <v>89</v>
      </c>
      <c r="G930" s="15"/>
      <c r="H930" s="98"/>
      <c r="I930" s="98"/>
      <c r="J930" s="99" t="e">
        <f t="shared" si="39"/>
        <v>#DIV/0!</v>
      </c>
    </row>
    <row r="931" spans="1:10" ht="15.75">
      <c r="A931" s="20" t="s">
        <v>140</v>
      </c>
      <c r="B931" s="21" t="s">
        <v>121</v>
      </c>
      <c r="C931" s="21" t="s">
        <v>12</v>
      </c>
      <c r="D931" s="21" t="s">
        <v>15</v>
      </c>
      <c r="E931" s="21" t="s">
        <v>802</v>
      </c>
      <c r="F931" s="21" t="s">
        <v>90</v>
      </c>
      <c r="G931" s="15"/>
      <c r="H931" s="98">
        <v>929</v>
      </c>
      <c r="I931" s="98">
        <v>929</v>
      </c>
      <c r="J931" s="99">
        <f t="shared" si="39"/>
        <v>100</v>
      </c>
    </row>
    <row r="932" spans="1:10" ht="78.75">
      <c r="A932" s="20" t="s">
        <v>803</v>
      </c>
      <c r="B932" s="21" t="s">
        <v>121</v>
      </c>
      <c r="C932" s="21" t="s">
        <v>12</v>
      </c>
      <c r="D932" s="21" t="s">
        <v>15</v>
      </c>
      <c r="E932" s="21" t="s">
        <v>802</v>
      </c>
      <c r="F932" s="21" t="s">
        <v>134</v>
      </c>
      <c r="G932" s="15"/>
      <c r="H932" s="98">
        <v>1</v>
      </c>
      <c r="I932" s="98">
        <v>1</v>
      </c>
      <c r="J932" s="99">
        <f t="shared" si="39"/>
        <v>100</v>
      </c>
    </row>
    <row r="933" spans="1:10" ht="31.5">
      <c r="A933" s="20" t="s">
        <v>795</v>
      </c>
      <c r="B933" s="21" t="s">
        <v>121</v>
      </c>
      <c r="C933" s="21" t="s">
        <v>12</v>
      </c>
      <c r="D933" s="21" t="s">
        <v>15</v>
      </c>
      <c r="E933" s="21" t="s">
        <v>796</v>
      </c>
      <c r="F933" s="21"/>
      <c r="G933" s="15"/>
      <c r="H933" s="98">
        <f aca="true" t="shared" si="42" ref="H933:I935">H934</f>
        <v>1547.1747400000002</v>
      </c>
      <c r="I933" s="98">
        <f t="shared" si="42"/>
        <v>1522.40974</v>
      </c>
      <c r="J933" s="99">
        <f t="shared" si="39"/>
        <v>98.39934046493029</v>
      </c>
    </row>
    <row r="934" spans="1:10" ht="15.75">
      <c r="A934" s="20" t="s">
        <v>804</v>
      </c>
      <c r="B934" s="21" t="s">
        <v>121</v>
      </c>
      <c r="C934" s="21" t="s">
        <v>12</v>
      </c>
      <c r="D934" s="21" t="s">
        <v>15</v>
      </c>
      <c r="E934" s="21" t="s">
        <v>805</v>
      </c>
      <c r="F934" s="21"/>
      <c r="G934" s="15"/>
      <c r="H934" s="98">
        <f>H935+H937+H938</f>
        <v>1547.1747400000002</v>
      </c>
      <c r="I934" s="98">
        <f>I935+I937+I938</f>
        <v>1522.40974</v>
      </c>
      <c r="J934" s="99">
        <f t="shared" si="39"/>
        <v>98.39934046493029</v>
      </c>
    </row>
    <row r="935" spans="1:10" ht="15.75">
      <c r="A935" s="20" t="s">
        <v>88</v>
      </c>
      <c r="B935" s="21" t="s">
        <v>121</v>
      </c>
      <c r="C935" s="21" t="s">
        <v>12</v>
      </c>
      <c r="D935" s="21" t="s">
        <v>15</v>
      </c>
      <c r="E935" s="21" t="s">
        <v>805</v>
      </c>
      <c r="F935" s="21" t="s">
        <v>87</v>
      </c>
      <c r="G935" s="15"/>
      <c r="H935" s="98">
        <f t="shared" si="42"/>
        <v>1526.31374</v>
      </c>
      <c r="I935" s="98">
        <f t="shared" si="42"/>
        <v>1501.54874</v>
      </c>
      <c r="J935" s="99">
        <f t="shared" si="39"/>
        <v>98.37746333856629</v>
      </c>
    </row>
    <row r="936" spans="1:10" ht="15.75">
      <c r="A936" s="20" t="s">
        <v>140</v>
      </c>
      <c r="B936" s="21" t="s">
        <v>121</v>
      </c>
      <c r="C936" s="21" t="s">
        <v>12</v>
      </c>
      <c r="D936" s="21" t="s">
        <v>15</v>
      </c>
      <c r="E936" s="21" t="s">
        <v>805</v>
      </c>
      <c r="F936" s="21" t="s">
        <v>90</v>
      </c>
      <c r="G936" s="15"/>
      <c r="H936" s="98">
        <v>1526.31374</v>
      </c>
      <c r="I936" s="98">
        <v>1501.54874</v>
      </c>
      <c r="J936" s="99">
        <f t="shared" si="39"/>
        <v>98.37746333856629</v>
      </c>
    </row>
    <row r="937" spans="1:10" ht="78.75">
      <c r="A937" s="20" t="s">
        <v>803</v>
      </c>
      <c r="B937" s="21" t="s">
        <v>121</v>
      </c>
      <c r="C937" s="21" t="s">
        <v>12</v>
      </c>
      <c r="D937" s="21" t="s">
        <v>15</v>
      </c>
      <c r="E937" s="21" t="s">
        <v>805</v>
      </c>
      <c r="F937" s="21" t="s">
        <v>134</v>
      </c>
      <c r="G937" s="15"/>
      <c r="H937" s="98">
        <v>17.861</v>
      </c>
      <c r="I937" s="98">
        <v>17.861</v>
      </c>
      <c r="J937" s="99">
        <f t="shared" si="39"/>
        <v>100</v>
      </c>
    </row>
    <row r="938" spans="1:10" ht="15.75">
      <c r="A938" s="20" t="s">
        <v>233</v>
      </c>
      <c r="B938" s="21" t="s">
        <v>121</v>
      </c>
      <c r="C938" s="21" t="s">
        <v>12</v>
      </c>
      <c r="D938" s="21" t="s">
        <v>15</v>
      </c>
      <c r="E938" s="21" t="s">
        <v>805</v>
      </c>
      <c r="F938" s="21" t="s">
        <v>96</v>
      </c>
      <c r="G938" s="15"/>
      <c r="H938" s="98">
        <v>3</v>
      </c>
      <c r="I938" s="98">
        <v>3</v>
      </c>
      <c r="J938" s="99">
        <f t="shared" si="39"/>
        <v>100</v>
      </c>
    </row>
    <row r="939" spans="1:10" ht="15.75">
      <c r="A939" s="20" t="s">
        <v>21</v>
      </c>
      <c r="B939" s="21" t="s">
        <v>121</v>
      </c>
      <c r="C939" s="21" t="s">
        <v>22</v>
      </c>
      <c r="D939" s="21" t="s">
        <v>9</v>
      </c>
      <c r="E939" s="21"/>
      <c r="F939" s="21"/>
      <c r="G939" s="15"/>
      <c r="H939" s="98">
        <f>H940</f>
        <v>17896.699399999998</v>
      </c>
      <c r="I939" s="98">
        <f>I940</f>
        <v>17896.699399999998</v>
      </c>
      <c r="J939" s="99">
        <f t="shared" si="39"/>
        <v>100</v>
      </c>
    </row>
    <row r="940" spans="1:10" ht="15.75">
      <c r="A940" s="20" t="s">
        <v>23</v>
      </c>
      <c r="B940" s="21" t="s">
        <v>121</v>
      </c>
      <c r="C940" s="21" t="s">
        <v>22</v>
      </c>
      <c r="D940" s="21" t="s">
        <v>8</v>
      </c>
      <c r="E940" s="21"/>
      <c r="F940" s="21"/>
      <c r="G940" s="15"/>
      <c r="H940" s="98">
        <f>H941+H943</f>
        <v>17896.699399999998</v>
      </c>
      <c r="I940" s="98">
        <f>I941+I943</f>
        <v>17896.699399999998</v>
      </c>
      <c r="J940" s="99">
        <f t="shared" si="39"/>
        <v>100</v>
      </c>
    </row>
    <row r="941" spans="1:10" ht="47.25">
      <c r="A941" s="78" t="s">
        <v>324</v>
      </c>
      <c r="B941" s="21" t="s">
        <v>121</v>
      </c>
      <c r="C941" s="21" t="s">
        <v>22</v>
      </c>
      <c r="D941" s="21" t="s">
        <v>8</v>
      </c>
      <c r="E941" s="21" t="s">
        <v>327</v>
      </c>
      <c r="F941" s="21"/>
      <c r="G941" s="15"/>
      <c r="H941" s="98">
        <f>H942</f>
        <v>2266.89113</v>
      </c>
      <c r="I941" s="98">
        <f>I942</f>
        <v>2266.89113</v>
      </c>
      <c r="J941" s="99">
        <f t="shared" si="39"/>
        <v>100</v>
      </c>
    </row>
    <row r="942" spans="1:10" ht="31.5">
      <c r="A942" s="20" t="s">
        <v>326</v>
      </c>
      <c r="B942" s="21" t="s">
        <v>121</v>
      </c>
      <c r="C942" s="21" t="s">
        <v>22</v>
      </c>
      <c r="D942" s="21" t="s">
        <v>8</v>
      </c>
      <c r="E942" s="21" t="s">
        <v>327</v>
      </c>
      <c r="F942" s="21" t="s">
        <v>153</v>
      </c>
      <c r="G942" s="15"/>
      <c r="H942" s="99">
        <v>2266.89113</v>
      </c>
      <c r="I942" s="99">
        <v>2266.89113</v>
      </c>
      <c r="J942" s="99">
        <f t="shared" si="39"/>
        <v>100</v>
      </c>
    </row>
    <row r="943" spans="1:10" ht="47.25">
      <c r="A943" s="20" t="s">
        <v>328</v>
      </c>
      <c r="B943" s="21" t="s">
        <v>121</v>
      </c>
      <c r="C943" s="21" t="s">
        <v>22</v>
      </c>
      <c r="D943" s="21" t="s">
        <v>8</v>
      </c>
      <c r="E943" s="21" t="s">
        <v>329</v>
      </c>
      <c r="F943" s="21"/>
      <c r="G943" s="15"/>
      <c r="H943" s="98">
        <f>H944</f>
        <v>15629.80827</v>
      </c>
      <c r="I943" s="98">
        <f>I944</f>
        <v>15629.80827</v>
      </c>
      <c r="J943" s="99">
        <f t="shared" si="39"/>
        <v>100</v>
      </c>
    </row>
    <row r="944" spans="1:10" ht="31.5">
      <c r="A944" s="20" t="s">
        <v>330</v>
      </c>
      <c r="B944" s="21" t="s">
        <v>121</v>
      </c>
      <c r="C944" s="21" t="s">
        <v>22</v>
      </c>
      <c r="D944" s="21" t="s">
        <v>8</v>
      </c>
      <c r="E944" s="21" t="s">
        <v>331</v>
      </c>
      <c r="F944" s="21"/>
      <c r="G944" s="15"/>
      <c r="H944" s="98">
        <f>H947+H945</f>
        <v>15629.80827</v>
      </c>
      <c r="I944" s="98">
        <f>I947+I945</f>
        <v>15629.80827</v>
      </c>
      <c r="J944" s="99">
        <f t="shared" si="39"/>
        <v>100</v>
      </c>
    </row>
    <row r="945" spans="1:10" ht="31.5">
      <c r="A945" s="78" t="s">
        <v>334</v>
      </c>
      <c r="B945" s="21" t="s">
        <v>121</v>
      </c>
      <c r="C945" s="21" t="s">
        <v>22</v>
      </c>
      <c r="D945" s="21" t="s">
        <v>8</v>
      </c>
      <c r="E945" s="21" t="s">
        <v>335</v>
      </c>
      <c r="F945" s="21"/>
      <c r="G945" s="15"/>
      <c r="H945" s="98">
        <f>H946</f>
        <v>4541.74849</v>
      </c>
      <c r="I945" s="98">
        <f>I946</f>
        <v>4541.74849</v>
      </c>
      <c r="J945" s="99">
        <f t="shared" si="39"/>
        <v>100</v>
      </c>
    </row>
    <row r="946" spans="1:10" ht="31.5">
      <c r="A946" s="20" t="s">
        <v>326</v>
      </c>
      <c r="B946" s="21" t="s">
        <v>121</v>
      </c>
      <c r="C946" s="21" t="s">
        <v>22</v>
      </c>
      <c r="D946" s="21" t="s">
        <v>8</v>
      </c>
      <c r="E946" s="21" t="s">
        <v>335</v>
      </c>
      <c r="F946" s="21" t="s">
        <v>153</v>
      </c>
      <c r="G946" s="15"/>
      <c r="H946" s="99">
        <v>4541.74849</v>
      </c>
      <c r="I946" s="99">
        <v>4541.74849</v>
      </c>
      <c r="J946" s="99">
        <f t="shared" si="39"/>
        <v>100</v>
      </c>
    </row>
    <row r="947" spans="1:10" ht="31.5">
      <c r="A947" s="20" t="s">
        <v>336</v>
      </c>
      <c r="B947" s="21" t="s">
        <v>121</v>
      </c>
      <c r="C947" s="21" t="s">
        <v>22</v>
      </c>
      <c r="D947" s="21" t="s">
        <v>8</v>
      </c>
      <c r="E947" s="21" t="s">
        <v>337</v>
      </c>
      <c r="F947" s="21"/>
      <c r="G947" s="15"/>
      <c r="H947" s="98">
        <f>H948</f>
        <v>11088.05978</v>
      </c>
      <c r="I947" s="98">
        <f>I948</f>
        <v>11088.05978</v>
      </c>
      <c r="J947" s="99">
        <f t="shared" si="39"/>
        <v>100</v>
      </c>
    </row>
    <row r="948" spans="1:10" ht="31.5">
      <c r="A948" s="20" t="s">
        <v>326</v>
      </c>
      <c r="B948" s="21" t="s">
        <v>121</v>
      </c>
      <c r="C948" s="21" t="s">
        <v>22</v>
      </c>
      <c r="D948" s="21" t="s">
        <v>8</v>
      </c>
      <c r="E948" s="21" t="s">
        <v>337</v>
      </c>
      <c r="F948" s="21" t="s">
        <v>153</v>
      </c>
      <c r="G948" s="15"/>
      <c r="H948" s="98">
        <v>11088.05978</v>
      </c>
      <c r="I948" s="98">
        <v>11088.05978</v>
      </c>
      <c r="J948" s="99">
        <f t="shared" si="39"/>
        <v>100</v>
      </c>
    </row>
    <row r="949" spans="1:10" ht="15.75">
      <c r="A949" s="20" t="s">
        <v>34</v>
      </c>
      <c r="B949" s="21" t="s">
        <v>121</v>
      </c>
      <c r="C949" s="21" t="s">
        <v>20</v>
      </c>
      <c r="D949" s="21" t="s">
        <v>9</v>
      </c>
      <c r="E949" s="21"/>
      <c r="F949" s="21"/>
      <c r="G949" s="19"/>
      <c r="H949" s="98">
        <f aca="true" t="shared" si="43" ref="H949:I953">H950</f>
        <v>14.5</v>
      </c>
      <c r="I949" s="98">
        <f t="shared" si="43"/>
        <v>12</v>
      </c>
      <c r="J949" s="99">
        <f aca="true" t="shared" si="44" ref="J949:J955">I949/H949*100</f>
        <v>82.75862068965517</v>
      </c>
    </row>
    <row r="950" spans="1:10" ht="15.75">
      <c r="A950" s="20" t="s">
        <v>36</v>
      </c>
      <c r="B950" s="21" t="s">
        <v>121</v>
      </c>
      <c r="C950" s="21" t="s">
        <v>20</v>
      </c>
      <c r="D950" s="21" t="s">
        <v>10</v>
      </c>
      <c r="E950" s="21"/>
      <c r="F950" s="21"/>
      <c r="G950" s="19"/>
      <c r="H950" s="98">
        <f t="shared" si="43"/>
        <v>14.5</v>
      </c>
      <c r="I950" s="98">
        <f t="shared" si="43"/>
        <v>12</v>
      </c>
      <c r="J950" s="99">
        <f t="shared" si="44"/>
        <v>82.75862068965517</v>
      </c>
    </row>
    <row r="951" spans="1:10" ht="47.25">
      <c r="A951" s="20" t="s">
        <v>773</v>
      </c>
      <c r="B951" s="21" t="s">
        <v>121</v>
      </c>
      <c r="C951" s="21" t="s">
        <v>20</v>
      </c>
      <c r="D951" s="21" t="s">
        <v>10</v>
      </c>
      <c r="E951" s="21" t="s">
        <v>774</v>
      </c>
      <c r="F951" s="21"/>
      <c r="G951" s="15"/>
      <c r="H951" s="98">
        <f t="shared" si="43"/>
        <v>14.5</v>
      </c>
      <c r="I951" s="98">
        <f t="shared" si="43"/>
        <v>12</v>
      </c>
      <c r="J951" s="99">
        <f t="shared" si="44"/>
        <v>82.75862068965517</v>
      </c>
    </row>
    <row r="952" spans="1:10" ht="47.25">
      <c r="A952" s="20" t="s">
        <v>806</v>
      </c>
      <c r="B952" s="21" t="s">
        <v>121</v>
      </c>
      <c r="C952" s="21" t="s">
        <v>20</v>
      </c>
      <c r="D952" s="21" t="s">
        <v>10</v>
      </c>
      <c r="E952" s="21" t="s">
        <v>794</v>
      </c>
      <c r="F952" s="21"/>
      <c r="G952" s="15"/>
      <c r="H952" s="98">
        <f t="shared" si="43"/>
        <v>14.5</v>
      </c>
      <c r="I952" s="98">
        <f t="shared" si="43"/>
        <v>12</v>
      </c>
      <c r="J952" s="99">
        <f t="shared" si="44"/>
        <v>82.75862068965517</v>
      </c>
    </row>
    <row r="953" spans="1:10" ht="31.5">
      <c r="A953" s="20" t="s">
        <v>775</v>
      </c>
      <c r="B953" s="21" t="s">
        <v>121</v>
      </c>
      <c r="C953" s="21" t="s">
        <v>20</v>
      </c>
      <c r="D953" s="21" t="s">
        <v>10</v>
      </c>
      <c r="E953" s="21" t="s">
        <v>776</v>
      </c>
      <c r="F953" s="21"/>
      <c r="G953" s="15"/>
      <c r="H953" s="98">
        <f t="shared" si="43"/>
        <v>14.5</v>
      </c>
      <c r="I953" s="98">
        <f t="shared" si="43"/>
        <v>12</v>
      </c>
      <c r="J953" s="99">
        <f t="shared" si="44"/>
        <v>82.75862068965517</v>
      </c>
    </row>
    <row r="954" spans="1:10" ht="47.25">
      <c r="A954" s="20" t="s">
        <v>807</v>
      </c>
      <c r="B954" s="21" t="s">
        <v>121</v>
      </c>
      <c r="C954" s="21" t="s">
        <v>20</v>
      </c>
      <c r="D954" s="21" t="s">
        <v>10</v>
      </c>
      <c r="E954" s="21" t="s">
        <v>808</v>
      </c>
      <c r="F954" s="21"/>
      <c r="G954" s="15"/>
      <c r="H954" s="98">
        <f>H955</f>
        <v>14.5</v>
      </c>
      <c r="I954" s="98">
        <f>I955</f>
        <v>12</v>
      </c>
      <c r="J954" s="99">
        <f t="shared" si="44"/>
        <v>82.75862068965517</v>
      </c>
    </row>
    <row r="955" spans="1:10" ht="31.5">
      <c r="A955" s="20" t="s">
        <v>141</v>
      </c>
      <c r="B955" s="21" t="s">
        <v>121</v>
      </c>
      <c r="C955" s="21" t="s">
        <v>20</v>
      </c>
      <c r="D955" s="21" t="s">
        <v>10</v>
      </c>
      <c r="E955" s="21" t="s">
        <v>808</v>
      </c>
      <c r="F955" s="21" t="s">
        <v>104</v>
      </c>
      <c r="G955" s="15"/>
      <c r="H955" s="98">
        <v>14.5</v>
      </c>
      <c r="I955" s="98">
        <v>12</v>
      </c>
      <c r="J955" s="99">
        <f t="shared" si="44"/>
        <v>82.75862068965517</v>
      </c>
    </row>
    <row r="956" spans="1:10" ht="15.75">
      <c r="A956" s="31"/>
      <c r="B956" s="38"/>
      <c r="C956" s="38"/>
      <c r="D956" s="38"/>
      <c r="E956" s="38"/>
      <c r="F956" s="38"/>
      <c r="G956" s="32"/>
      <c r="H956" s="107"/>
      <c r="I956" s="107"/>
      <c r="J956" s="32"/>
    </row>
    <row r="957" spans="1:10" ht="15.75">
      <c r="A957" s="11"/>
      <c r="B957" s="12"/>
      <c r="C957" s="12"/>
      <c r="D957" s="12"/>
      <c r="E957" s="12"/>
      <c r="F957" s="12"/>
      <c r="G957" s="12"/>
      <c r="H957" s="110"/>
      <c r="I957" s="110"/>
      <c r="J957" s="48"/>
    </row>
    <row r="958" spans="1:10" ht="15.75">
      <c r="A958" s="35" t="s">
        <v>130</v>
      </c>
      <c r="B958" s="17" t="s">
        <v>129</v>
      </c>
      <c r="C958" s="17" t="s">
        <v>9</v>
      </c>
      <c r="D958" s="17" t="s">
        <v>9</v>
      </c>
      <c r="E958" s="17"/>
      <c r="F958" s="17"/>
      <c r="G958" s="18" t="e">
        <f>#REF!+#REF!+#REF!</f>
        <v>#REF!</v>
      </c>
      <c r="H958" s="97">
        <f>H959</f>
        <v>1914.605</v>
      </c>
      <c r="I958" s="97">
        <f>I959</f>
        <v>1738.28962</v>
      </c>
      <c r="J958" s="99">
        <f aca="true" t="shared" si="45" ref="J958:J978">I958/H958*100</f>
        <v>90.79103104817965</v>
      </c>
    </row>
    <row r="959" spans="1:10" ht="15.75">
      <c r="A959" s="20" t="s">
        <v>7</v>
      </c>
      <c r="B959" s="21" t="s">
        <v>129</v>
      </c>
      <c r="C959" s="21" t="s">
        <v>8</v>
      </c>
      <c r="D959" s="21" t="s">
        <v>9</v>
      </c>
      <c r="E959" s="21"/>
      <c r="F959" s="21"/>
      <c r="G959" s="15"/>
      <c r="H959" s="98">
        <f>H960</f>
        <v>1914.605</v>
      </c>
      <c r="I959" s="98">
        <f>I960</f>
        <v>1738.28962</v>
      </c>
      <c r="J959" s="99">
        <f t="shared" si="45"/>
        <v>90.79103104817965</v>
      </c>
    </row>
    <row r="960" spans="1:10" ht="47.25">
      <c r="A960" s="20" t="s">
        <v>51</v>
      </c>
      <c r="B960" s="21" t="s">
        <v>129</v>
      </c>
      <c r="C960" s="21" t="s">
        <v>8</v>
      </c>
      <c r="D960" s="21" t="s">
        <v>13</v>
      </c>
      <c r="E960" s="21"/>
      <c r="F960" s="21"/>
      <c r="G960" s="15" t="e">
        <f>#REF!+#REF!+#REF!</f>
        <v>#REF!</v>
      </c>
      <c r="H960" s="98">
        <f>+H961</f>
        <v>1914.605</v>
      </c>
      <c r="I960" s="98">
        <f>+I961</f>
        <v>1738.28962</v>
      </c>
      <c r="J960" s="99">
        <f t="shared" si="45"/>
        <v>90.79103104817965</v>
      </c>
    </row>
    <row r="961" spans="1:10" ht="31.5">
      <c r="A961" s="20" t="s">
        <v>809</v>
      </c>
      <c r="B961" s="21" t="s">
        <v>129</v>
      </c>
      <c r="C961" s="21" t="s">
        <v>8</v>
      </c>
      <c r="D961" s="21" t="s">
        <v>13</v>
      </c>
      <c r="E961" s="21" t="s">
        <v>810</v>
      </c>
      <c r="F961" s="21"/>
      <c r="G961" s="15"/>
      <c r="H961" s="98">
        <f>H962+H978</f>
        <v>1914.605</v>
      </c>
      <c r="I961" s="98">
        <f>I962+I978</f>
        <v>1738.28962</v>
      </c>
      <c r="J961" s="99">
        <f t="shared" si="45"/>
        <v>90.79103104817965</v>
      </c>
    </row>
    <row r="962" spans="1:10" ht="31.5">
      <c r="A962" s="20" t="s">
        <v>148</v>
      </c>
      <c r="B962" s="21" t="s">
        <v>129</v>
      </c>
      <c r="C962" s="21" t="s">
        <v>8</v>
      </c>
      <c r="D962" s="21" t="s">
        <v>13</v>
      </c>
      <c r="E962" s="21" t="s">
        <v>811</v>
      </c>
      <c r="F962" s="21"/>
      <c r="G962" s="15"/>
      <c r="H962" s="98">
        <f>H963+H969</f>
        <v>1911.605</v>
      </c>
      <c r="I962" s="98">
        <f>I963+I969</f>
        <v>1735.28962</v>
      </c>
      <c r="J962" s="99">
        <f t="shared" si="45"/>
        <v>90.7765788434326</v>
      </c>
    </row>
    <row r="963" spans="1:10" ht="31.5">
      <c r="A963" s="20" t="s">
        <v>812</v>
      </c>
      <c r="B963" s="21" t="s">
        <v>129</v>
      </c>
      <c r="C963" s="21" t="s">
        <v>8</v>
      </c>
      <c r="D963" s="21" t="s">
        <v>13</v>
      </c>
      <c r="E963" s="21" t="s">
        <v>813</v>
      </c>
      <c r="F963" s="21"/>
      <c r="G963" s="15"/>
      <c r="H963" s="98">
        <f>H964</f>
        <v>1634.605</v>
      </c>
      <c r="I963" s="98">
        <f>I964</f>
        <v>1614.81952</v>
      </c>
      <c r="J963" s="99">
        <f t="shared" si="45"/>
        <v>98.78958647501996</v>
      </c>
    </row>
    <row r="964" spans="1:10" ht="15.75">
      <c r="A964" s="20" t="s">
        <v>82</v>
      </c>
      <c r="B964" s="21" t="s">
        <v>129</v>
      </c>
      <c r="C964" s="21" t="s">
        <v>8</v>
      </c>
      <c r="D964" s="21" t="s">
        <v>13</v>
      </c>
      <c r="E964" s="21" t="s">
        <v>813</v>
      </c>
      <c r="F964" s="21" t="s">
        <v>81</v>
      </c>
      <c r="G964" s="15"/>
      <c r="H964" s="98">
        <f>H965+H966+H967+H968</f>
        <v>1634.605</v>
      </c>
      <c r="I964" s="98">
        <f>I965+I966+I967+I968</f>
        <v>1614.81952</v>
      </c>
      <c r="J964" s="99">
        <f t="shared" si="45"/>
        <v>98.78958647501996</v>
      </c>
    </row>
    <row r="965" spans="1:10" ht="15.75">
      <c r="A965" s="20" t="s">
        <v>191</v>
      </c>
      <c r="B965" s="21" t="s">
        <v>129</v>
      </c>
      <c r="C965" s="21" t="s">
        <v>8</v>
      </c>
      <c r="D965" s="21" t="s">
        <v>13</v>
      </c>
      <c r="E965" s="21" t="s">
        <v>813</v>
      </c>
      <c r="F965" s="21" t="s">
        <v>83</v>
      </c>
      <c r="G965" s="15"/>
      <c r="H965" s="98">
        <v>1255.457</v>
      </c>
      <c r="I965" s="98">
        <v>1243.02718</v>
      </c>
      <c r="J965" s="99">
        <f t="shared" si="45"/>
        <v>99.00993662068872</v>
      </c>
    </row>
    <row r="966" spans="1:10" ht="15.75" hidden="1">
      <c r="A966" s="20" t="s">
        <v>86</v>
      </c>
      <c r="B966" s="21" t="s">
        <v>129</v>
      </c>
      <c r="C966" s="21" t="s">
        <v>8</v>
      </c>
      <c r="D966" s="21" t="s">
        <v>13</v>
      </c>
      <c r="E966" s="21" t="s">
        <v>813</v>
      </c>
      <c r="F966" s="21" t="s">
        <v>85</v>
      </c>
      <c r="G966" s="15"/>
      <c r="H966" s="98"/>
      <c r="I966" s="98"/>
      <c r="J966" s="99" t="e">
        <f t="shared" si="45"/>
        <v>#DIV/0!</v>
      </c>
    </row>
    <row r="967" spans="1:10" ht="47.25" hidden="1">
      <c r="A967" s="20" t="s">
        <v>128</v>
      </c>
      <c r="B967" s="21" t="s">
        <v>129</v>
      </c>
      <c r="C967" s="21" t="s">
        <v>8</v>
      </c>
      <c r="D967" s="21" t="s">
        <v>13</v>
      </c>
      <c r="E967" s="21" t="s">
        <v>813</v>
      </c>
      <c r="F967" s="21" t="s">
        <v>127</v>
      </c>
      <c r="G967" s="15"/>
      <c r="H967" s="98"/>
      <c r="I967" s="98"/>
      <c r="J967" s="99" t="e">
        <f t="shared" si="45"/>
        <v>#DIV/0!</v>
      </c>
    </row>
    <row r="968" spans="1:10" ht="31.5">
      <c r="A968" s="20" t="s">
        <v>192</v>
      </c>
      <c r="B968" s="21" t="s">
        <v>129</v>
      </c>
      <c r="C968" s="21" t="s">
        <v>8</v>
      </c>
      <c r="D968" s="21" t="s">
        <v>13</v>
      </c>
      <c r="E968" s="21" t="s">
        <v>813</v>
      </c>
      <c r="F968" s="21" t="s">
        <v>193</v>
      </c>
      <c r="G968" s="15"/>
      <c r="H968" s="98">
        <v>379.148</v>
      </c>
      <c r="I968" s="98">
        <v>371.79234</v>
      </c>
      <c r="J968" s="99">
        <f t="shared" si="45"/>
        <v>98.05995020414193</v>
      </c>
    </row>
    <row r="969" spans="1:10" ht="31.5">
      <c r="A969" s="20" t="s">
        <v>814</v>
      </c>
      <c r="B969" s="21" t="s">
        <v>129</v>
      </c>
      <c r="C969" s="21" t="s">
        <v>8</v>
      </c>
      <c r="D969" s="21" t="s">
        <v>13</v>
      </c>
      <c r="E969" s="21" t="s">
        <v>815</v>
      </c>
      <c r="F969" s="21"/>
      <c r="G969" s="15"/>
      <c r="H969" s="98">
        <f>H972+H975+H970</f>
        <v>277</v>
      </c>
      <c r="I969" s="98">
        <f>I972+I975+I970</f>
        <v>120.4701</v>
      </c>
      <c r="J969" s="99">
        <f t="shared" si="45"/>
        <v>43.49101083032491</v>
      </c>
    </row>
    <row r="970" spans="1:10" ht="15.75">
      <c r="A970" s="20" t="s">
        <v>82</v>
      </c>
      <c r="B970" s="21" t="s">
        <v>129</v>
      </c>
      <c r="C970" s="21" t="s">
        <v>8</v>
      </c>
      <c r="D970" s="21" t="s">
        <v>13</v>
      </c>
      <c r="E970" s="21" t="s">
        <v>815</v>
      </c>
      <c r="F970" s="21" t="s">
        <v>81</v>
      </c>
      <c r="G970" s="15"/>
      <c r="H970" s="98">
        <f>H971</f>
        <v>104</v>
      </c>
      <c r="I970" s="98">
        <f>I971</f>
        <v>31.80205</v>
      </c>
      <c r="J970" s="99">
        <f t="shared" si="45"/>
        <v>30.578894230769233</v>
      </c>
    </row>
    <row r="971" spans="1:10" ht="31.5">
      <c r="A971" s="20" t="s">
        <v>138</v>
      </c>
      <c r="B971" s="21" t="s">
        <v>129</v>
      </c>
      <c r="C971" s="21" t="s">
        <v>8</v>
      </c>
      <c r="D971" s="21" t="s">
        <v>13</v>
      </c>
      <c r="E971" s="21" t="s">
        <v>815</v>
      </c>
      <c r="F971" s="21" t="s">
        <v>85</v>
      </c>
      <c r="G971" s="15"/>
      <c r="H971" s="98">
        <v>104</v>
      </c>
      <c r="I971" s="98">
        <v>31.80205</v>
      </c>
      <c r="J971" s="99">
        <f t="shared" si="45"/>
        <v>30.578894230769233</v>
      </c>
    </row>
    <row r="972" spans="1:10" ht="15.75">
      <c r="A972" s="20" t="s">
        <v>88</v>
      </c>
      <c r="B972" s="21" t="s">
        <v>129</v>
      </c>
      <c r="C972" s="21" t="s">
        <v>8</v>
      </c>
      <c r="D972" s="21" t="s">
        <v>13</v>
      </c>
      <c r="E972" s="21" t="s">
        <v>815</v>
      </c>
      <c r="F972" s="21" t="s">
        <v>87</v>
      </c>
      <c r="G972" s="15"/>
      <c r="H972" s="98">
        <f>H973+H974</f>
        <v>164</v>
      </c>
      <c r="I972" s="98">
        <f>I973+I974</f>
        <v>87.98129</v>
      </c>
      <c r="J972" s="99">
        <f t="shared" si="45"/>
        <v>53.64712804878049</v>
      </c>
    </row>
    <row r="973" spans="1:10" ht="31.5">
      <c r="A973" s="20" t="s">
        <v>92</v>
      </c>
      <c r="B973" s="21" t="s">
        <v>129</v>
      </c>
      <c r="C973" s="21" t="s">
        <v>8</v>
      </c>
      <c r="D973" s="21" t="s">
        <v>13</v>
      </c>
      <c r="E973" s="21" t="s">
        <v>815</v>
      </c>
      <c r="F973" s="21" t="s">
        <v>89</v>
      </c>
      <c r="G973" s="15"/>
      <c r="H973" s="98">
        <v>95.8</v>
      </c>
      <c r="I973" s="98">
        <v>59.14812</v>
      </c>
      <c r="J973" s="99">
        <f t="shared" si="45"/>
        <v>61.741252609603336</v>
      </c>
    </row>
    <row r="974" spans="1:10" ht="15.75">
      <c r="A974" s="20" t="s">
        <v>140</v>
      </c>
      <c r="B974" s="21" t="s">
        <v>129</v>
      </c>
      <c r="C974" s="21" t="s">
        <v>8</v>
      </c>
      <c r="D974" s="21" t="s">
        <v>13</v>
      </c>
      <c r="E974" s="21" t="s">
        <v>815</v>
      </c>
      <c r="F974" s="21" t="s">
        <v>90</v>
      </c>
      <c r="G974" s="15"/>
      <c r="H974" s="98">
        <v>68.2</v>
      </c>
      <c r="I974" s="98">
        <v>28.83317</v>
      </c>
      <c r="J974" s="99">
        <f t="shared" si="45"/>
        <v>42.27737536656891</v>
      </c>
    </row>
    <row r="975" spans="1:10" ht="15.75">
      <c r="A975" s="20" t="s">
        <v>93</v>
      </c>
      <c r="B975" s="21" t="s">
        <v>129</v>
      </c>
      <c r="C975" s="21" t="s">
        <v>8</v>
      </c>
      <c r="D975" s="21" t="s">
        <v>13</v>
      </c>
      <c r="E975" s="21" t="s">
        <v>815</v>
      </c>
      <c r="F975" s="21" t="s">
        <v>94</v>
      </c>
      <c r="G975" s="15"/>
      <c r="H975" s="98">
        <f>H976+H977</f>
        <v>9</v>
      </c>
      <c r="I975" s="98">
        <f>I976+I977</f>
        <v>0.68676</v>
      </c>
      <c r="J975" s="99">
        <f t="shared" si="45"/>
        <v>7.630666666666667</v>
      </c>
    </row>
    <row r="976" spans="1:10" ht="15.75">
      <c r="A976" s="20" t="s">
        <v>97</v>
      </c>
      <c r="B976" s="21" t="s">
        <v>129</v>
      </c>
      <c r="C976" s="21" t="s">
        <v>8</v>
      </c>
      <c r="D976" s="21" t="s">
        <v>13</v>
      </c>
      <c r="E976" s="21" t="s">
        <v>815</v>
      </c>
      <c r="F976" s="21" t="s">
        <v>95</v>
      </c>
      <c r="G976" s="15"/>
      <c r="H976" s="98">
        <v>4</v>
      </c>
      <c r="I976" s="98"/>
      <c r="J976" s="99">
        <f t="shared" si="45"/>
        <v>0</v>
      </c>
    </row>
    <row r="977" spans="1:10" ht="15.75">
      <c r="A977" s="20" t="s">
        <v>233</v>
      </c>
      <c r="B977" s="21" t="s">
        <v>129</v>
      </c>
      <c r="C977" s="21" t="s">
        <v>8</v>
      </c>
      <c r="D977" s="21" t="s">
        <v>13</v>
      </c>
      <c r="E977" s="21" t="s">
        <v>815</v>
      </c>
      <c r="F977" s="21" t="s">
        <v>96</v>
      </c>
      <c r="G977" s="15"/>
      <c r="H977" s="98">
        <v>5</v>
      </c>
      <c r="I977" s="98">
        <v>0.68676</v>
      </c>
      <c r="J977" s="99">
        <f t="shared" si="45"/>
        <v>13.7352</v>
      </c>
    </row>
    <row r="978" spans="1:10" ht="31.5">
      <c r="A978" s="20" t="s">
        <v>149</v>
      </c>
      <c r="B978" s="21" t="s">
        <v>129</v>
      </c>
      <c r="C978" s="21" t="s">
        <v>8</v>
      </c>
      <c r="D978" s="21" t="s">
        <v>13</v>
      </c>
      <c r="E978" s="21" t="s">
        <v>816</v>
      </c>
      <c r="F978" s="21"/>
      <c r="G978" s="15"/>
      <c r="H978" s="98">
        <f>H979</f>
        <v>3</v>
      </c>
      <c r="I978" s="98">
        <f>I979</f>
        <v>3</v>
      </c>
      <c r="J978" s="99">
        <f t="shared" si="45"/>
        <v>100</v>
      </c>
    </row>
    <row r="979" spans="1:10" ht="15.75">
      <c r="A979" s="20" t="s">
        <v>140</v>
      </c>
      <c r="B979" s="21" t="s">
        <v>129</v>
      </c>
      <c r="C979" s="21" t="s">
        <v>8</v>
      </c>
      <c r="D979" s="21" t="s">
        <v>13</v>
      </c>
      <c r="E979" s="21" t="s">
        <v>816</v>
      </c>
      <c r="F979" s="21" t="s">
        <v>90</v>
      </c>
      <c r="G979" s="15"/>
      <c r="H979" s="98">
        <v>3</v>
      </c>
      <c r="I979" s="98">
        <v>3</v>
      </c>
      <c r="J979" s="19"/>
    </row>
    <row r="980" spans="1:10" ht="15.75">
      <c r="A980" s="2"/>
      <c r="G980" s="2"/>
      <c r="H980" s="93"/>
      <c r="I980" s="94"/>
      <c r="J980" s="93"/>
    </row>
    <row r="981" spans="1:10" ht="15.75">
      <c r="A981" s="2"/>
      <c r="G981" s="2"/>
      <c r="H981" s="93"/>
      <c r="I981" s="94"/>
      <c r="J981" s="93"/>
    </row>
    <row r="982" spans="1:9" ht="15.75">
      <c r="A982" s="2"/>
      <c r="G982" s="2"/>
      <c r="H982" s="93"/>
      <c r="I982" s="94"/>
    </row>
    <row r="983" spans="1:9" ht="15.75">
      <c r="A983" s="2"/>
      <c r="G983" s="2"/>
      <c r="H983" s="93"/>
      <c r="I983" s="94"/>
    </row>
    <row r="984" spans="1:9" ht="15.75">
      <c r="A984" s="2"/>
      <c r="G984" s="2"/>
      <c r="H984" s="93"/>
      <c r="I984" s="94"/>
    </row>
    <row r="985" spans="1:9" ht="15.75">
      <c r="A985" s="2"/>
      <c r="G985" s="2"/>
      <c r="H985" s="93"/>
      <c r="I985" s="94"/>
    </row>
    <row r="986" spans="1:9" ht="15.75">
      <c r="A986" s="2"/>
      <c r="G986" s="2"/>
      <c r="H986" s="93"/>
      <c r="I986" s="94"/>
    </row>
    <row r="987" spans="1:9" ht="15.75">
      <c r="A987" s="2"/>
      <c r="G987" s="2"/>
      <c r="H987" s="93"/>
      <c r="I987" s="94"/>
    </row>
    <row r="988" spans="1:9" ht="15.75">
      <c r="A988" s="2"/>
      <c r="G988" s="2"/>
      <c r="H988" s="93"/>
      <c r="I988" s="94"/>
    </row>
    <row r="989" spans="1:9" ht="15.75">
      <c r="A989" s="2"/>
      <c r="G989" s="2"/>
      <c r="H989" s="93"/>
      <c r="I989" s="94"/>
    </row>
    <row r="990" spans="1:9" ht="15.75">
      <c r="A990" s="2"/>
      <c r="G990" s="2"/>
      <c r="H990" s="93"/>
      <c r="I990" s="94"/>
    </row>
    <row r="991" spans="1:9" ht="15.75">
      <c r="A991" s="2"/>
      <c r="G991" s="2"/>
      <c r="H991" s="93"/>
      <c r="I991" s="94"/>
    </row>
    <row r="992" spans="1:9" ht="15.75">
      <c r="A992" s="2"/>
      <c r="G992" s="2"/>
      <c r="H992" s="93"/>
      <c r="I992" s="94"/>
    </row>
    <row r="993" spans="1:9" ht="15.75">
      <c r="A993" s="2"/>
      <c r="G993" s="2"/>
      <c r="H993" s="93"/>
      <c r="I993" s="94"/>
    </row>
    <row r="994" spans="1:9" ht="15.75">
      <c r="A994" s="2"/>
      <c r="G994" s="2"/>
      <c r="H994" s="93"/>
      <c r="I994" s="94"/>
    </row>
    <row r="995" spans="1:9" ht="15.75">
      <c r="A995" s="2"/>
      <c r="G995" s="2"/>
      <c r="H995" s="93"/>
      <c r="I995" s="94"/>
    </row>
    <row r="996" spans="1:9" ht="15.75">
      <c r="A996" s="2"/>
      <c r="G996" s="2"/>
      <c r="H996" s="93"/>
      <c r="I996" s="94"/>
    </row>
    <row r="997" spans="1:9" ht="15.75">
      <c r="A997" s="2"/>
      <c r="G997" s="2"/>
      <c r="H997" s="93"/>
      <c r="I997" s="94"/>
    </row>
    <row r="998" spans="1:9" ht="15.75">
      <c r="A998" s="2"/>
      <c r="G998" s="2"/>
      <c r="H998" s="93"/>
      <c r="I998" s="94"/>
    </row>
    <row r="999" spans="1:9" ht="15.75">
      <c r="A999" s="2"/>
      <c r="G999" s="2"/>
      <c r="H999" s="93"/>
      <c r="I999" s="94"/>
    </row>
    <row r="1000" spans="1:9" ht="15.75">
      <c r="A1000" s="2"/>
      <c r="G1000" s="2"/>
      <c r="H1000" s="93"/>
      <c r="I1000" s="94"/>
    </row>
    <row r="1001" spans="1:9" ht="15.75">
      <c r="A1001" s="2"/>
      <c r="G1001" s="2"/>
      <c r="H1001" s="93"/>
      <c r="I1001" s="94"/>
    </row>
    <row r="1002" spans="1:9" ht="15.75">
      <c r="A1002" s="2"/>
      <c r="G1002" s="2"/>
      <c r="H1002" s="93"/>
      <c r="I1002" s="94"/>
    </row>
    <row r="1003" spans="1:9" ht="15.75">
      <c r="A1003" s="2"/>
      <c r="G1003" s="2"/>
      <c r="H1003" s="93"/>
      <c r="I1003" s="94"/>
    </row>
    <row r="1004" spans="1:9" ht="15.75">
      <c r="A1004" s="2"/>
      <c r="G1004" s="2"/>
      <c r="H1004" s="93"/>
      <c r="I1004" s="94"/>
    </row>
    <row r="1005" spans="1:9" ht="15.75">
      <c r="A1005" s="2"/>
      <c r="G1005" s="2"/>
      <c r="H1005" s="93"/>
      <c r="I1005" s="94"/>
    </row>
    <row r="1006" spans="7:9" ht="15.75">
      <c r="G1006" s="2"/>
      <c r="H1006" s="93"/>
      <c r="I1006" s="94"/>
    </row>
    <row r="1007" spans="7:9" ht="15.75">
      <c r="G1007" s="2"/>
      <c r="H1007" s="93"/>
      <c r="I1007" s="94"/>
    </row>
    <row r="1008" spans="7:9" ht="15.75">
      <c r="G1008" s="2"/>
      <c r="H1008" s="93"/>
      <c r="I1008" s="94"/>
    </row>
    <row r="1009" spans="7:9" ht="15.75">
      <c r="G1009" s="2"/>
      <c r="H1009" s="93"/>
      <c r="I1009" s="94"/>
    </row>
    <row r="1010" spans="7:9" ht="15.75">
      <c r="G1010" s="2"/>
      <c r="H1010" s="93"/>
      <c r="I1010" s="94"/>
    </row>
    <row r="1011" spans="7:9" ht="15.75">
      <c r="G1011" s="2"/>
      <c r="H1011" s="93"/>
      <c r="I1011" s="94"/>
    </row>
    <row r="1012" spans="7:9" ht="15.75">
      <c r="G1012" s="2"/>
      <c r="H1012" s="93"/>
      <c r="I1012" s="94"/>
    </row>
    <row r="1013" spans="7:9" ht="15.75">
      <c r="G1013" s="2"/>
      <c r="H1013" s="93"/>
      <c r="I1013" s="94"/>
    </row>
    <row r="1014" spans="7:9" ht="15.75">
      <c r="G1014" s="2"/>
      <c r="H1014" s="93"/>
      <c r="I1014" s="94"/>
    </row>
    <row r="1015" spans="1:10" ht="15.75">
      <c r="A1015" s="7"/>
      <c r="B1015" s="8"/>
      <c r="C1015" s="8"/>
      <c r="D1015" s="8"/>
      <c r="E1015" s="8"/>
      <c r="F1015" s="8"/>
      <c r="G1015" s="8"/>
      <c r="H1015" s="93"/>
      <c r="I1015" s="111"/>
      <c r="J1015" s="96"/>
    </row>
    <row r="1016" spans="1:10" ht="15.75">
      <c r="A1016" s="7"/>
      <c r="B1016" s="8"/>
      <c r="C1016" s="8"/>
      <c r="D1016" s="8"/>
      <c r="E1016" s="8"/>
      <c r="F1016" s="8"/>
      <c r="G1016" s="8"/>
      <c r="H1016" s="93"/>
      <c r="I1016" s="111"/>
      <c r="J1016" s="96"/>
    </row>
    <row r="1017" spans="7:10" ht="15.75">
      <c r="G1017" s="2"/>
      <c r="H1017" s="93"/>
      <c r="I1017" s="111"/>
      <c r="J1017" s="96"/>
    </row>
    <row r="1018" spans="7:10" ht="15.75">
      <c r="G1018" s="2"/>
      <c r="H1018" s="93"/>
      <c r="I1018" s="111"/>
      <c r="J1018" s="96"/>
    </row>
    <row r="1019" spans="7:10" ht="15.75">
      <c r="G1019" s="2"/>
      <c r="H1019" s="93"/>
      <c r="I1019" s="111"/>
      <c r="J1019" s="96"/>
    </row>
    <row r="1020" spans="7:10" ht="15.75">
      <c r="G1020" s="2"/>
      <c r="H1020" s="93"/>
      <c r="I1020" s="111"/>
      <c r="J1020" s="96"/>
    </row>
    <row r="1021" spans="7:10" ht="15.75">
      <c r="G1021" s="2"/>
      <c r="H1021" s="93"/>
      <c r="I1021" s="111"/>
      <c r="J1021" s="96"/>
    </row>
    <row r="1022" spans="7:10" ht="15.75">
      <c r="G1022" s="2"/>
      <c r="H1022" s="93"/>
      <c r="I1022" s="111"/>
      <c r="J1022" s="96"/>
    </row>
    <row r="1023" spans="7:10" ht="15.75">
      <c r="G1023" s="2"/>
      <c r="H1023" s="93"/>
      <c r="I1023" s="111"/>
      <c r="J1023" s="96"/>
    </row>
    <row r="1024" spans="1:10" ht="15.75">
      <c r="A1024" s="2"/>
      <c r="G1024" s="2"/>
      <c r="H1024" s="93"/>
      <c r="I1024" s="111"/>
      <c r="J1024" s="96"/>
    </row>
    <row r="1025" spans="1:10" ht="15.75">
      <c r="A1025" s="2"/>
      <c r="G1025" s="2"/>
      <c r="H1025" s="93"/>
      <c r="I1025" s="111"/>
      <c r="J1025" s="96"/>
    </row>
    <row r="1026" spans="1:10" ht="15.75">
      <c r="A1026" s="2"/>
      <c r="G1026" s="2"/>
      <c r="H1026" s="93"/>
      <c r="I1026" s="111"/>
      <c r="J1026" s="96"/>
    </row>
    <row r="1027" spans="1:10" ht="15.75">
      <c r="A1027" s="2"/>
      <c r="G1027" s="2"/>
      <c r="H1027" s="93"/>
      <c r="I1027" s="111"/>
      <c r="J1027" s="96"/>
    </row>
    <row r="1028" spans="1:10" ht="15.75">
      <c r="A1028" s="2"/>
      <c r="G1028" s="2"/>
      <c r="H1028" s="93"/>
      <c r="I1028" s="111"/>
      <c r="J1028" s="96"/>
    </row>
    <row r="1029" spans="1:10" ht="15.75">
      <c r="A1029" s="2"/>
      <c r="G1029" s="2"/>
      <c r="H1029" s="93"/>
      <c r="I1029" s="111"/>
      <c r="J1029" s="96"/>
    </row>
    <row r="1030" spans="1:10" ht="15.75">
      <c r="A1030" s="2"/>
      <c r="G1030" s="2"/>
      <c r="H1030" s="93"/>
      <c r="I1030" s="111"/>
      <c r="J1030" s="96"/>
    </row>
    <row r="1031" spans="1:10" ht="15.75">
      <c r="A1031" s="2"/>
      <c r="G1031" s="2"/>
      <c r="H1031" s="93"/>
      <c r="I1031" s="111"/>
      <c r="J1031" s="96"/>
    </row>
    <row r="1032" spans="1:10" ht="15.75">
      <c r="A1032" s="2"/>
      <c r="G1032" s="2"/>
      <c r="H1032" s="93"/>
      <c r="I1032" s="111"/>
      <c r="J1032" s="96"/>
    </row>
    <row r="1033" spans="1:10" ht="15.75">
      <c r="A1033" s="2"/>
      <c r="G1033" s="2"/>
      <c r="H1033" s="93"/>
      <c r="I1033" s="111"/>
      <c r="J1033" s="96"/>
    </row>
    <row r="1034" spans="1:10" ht="15.75">
      <c r="A1034" s="2"/>
      <c r="G1034" s="2"/>
      <c r="H1034" s="93"/>
      <c r="I1034" s="111"/>
      <c r="J1034" s="96"/>
    </row>
    <row r="1035" spans="1:10" ht="15.75">
      <c r="A1035" s="2"/>
      <c r="G1035" s="2"/>
      <c r="H1035" s="93"/>
      <c r="I1035" s="111"/>
      <c r="J1035" s="96"/>
    </row>
    <row r="1036" spans="1:10" ht="15.75">
      <c r="A1036" s="2"/>
      <c r="G1036" s="2"/>
      <c r="H1036" s="93"/>
      <c r="I1036" s="111"/>
      <c r="J1036" s="96"/>
    </row>
    <row r="1037" spans="1:10" ht="15.75">
      <c r="A1037" s="2"/>
      <c r="G1037" s="2"/>
      <c r="H1037" s="93"/>
      <c r="I1037" s="111"/>
      <c r="J1037" s="96"/>
    </row>
    <row r="1038" spans="1:10" ht="15.75">
      <c r="A1038" s="2"/>
      <c r="G1038" s="2"/>
      <c r="H1038" s="93"/>
      <c r="I1038" s="111"/>
      <c r="J1038" s="96"/>
    </row>
    <row r="1039" spans="1:10" ht="15.75">
      <c r="A1039" s="2"/>
      <c r="G1039" s="2"/>
      <c r="H1039" s="93"/>
      <c r="I1039" s="111"/>
      <c r="J1039" s="96"/>
    </row>
    <row r="1040" spans="1:10" ht="15.75">
      <c r="A1040" s="2"/>
      <c r="G1040" s="2"/>
      <c r="H1040" s="93"/>
      <c r="I1040" s="111"/>
      <c r="J1040" s="96"/>
    </row>
    <row r="1041" spans="1:10" ht="15.75">
      <c r="A1041" s="2"/>
      <c r="G1041" s="2"/>
      <c r="H1041" s="93"/>
      <c r="I1041" s="111"/>
      <c r="J1041" s="96"/>
    </row>
    <row r="1042" spans="1:10" ht="15.75">
      <c r="A1042" s="2"/>
      <c r="G1042" s="2"/>
      <c r="H1042" s="93"/>
      <c r="I1042" s="111"/>
      <c r="J1042" s="96"/>
    </row>
    <row r="1043" spans="1:10" ht="15.75">
      <c r="A1043" s="2"/>
      <c r="G1043" s="2"/>
      <c r="H1043" s="93"/>
      <c r="I1043" s="111"/>
      <c r="J1043" s="96"/>
    </row>
    <row r="1044" spans="1:10" ht="15.75">
      <c r="A1044" s="2"/>
      <c r="G1044" s="2"/>
      <c r="H1044" s="93"/>
      <c r="I1044" s="111"/>
      <c r="J1044" s="96"/>
    </row>
    <row r="1045" spans="1:10" ht="15.75">
      <c r="A1045" s="2"/>
      <c r="G1045" s="2"/>
      <c r="H1045" s="93"/>
      <c r="I1045" s="111"/>
      <c r="J1045" s="96"/>
    </row>
    <row r="1046" spans="1:10" ht="15.75">
      <c r="A1046" s="2"/>
      <c r="G1046" s="2"/>
      <c r="H1046" s="93"/>
      <c r="I1046" s="111"/>
      <c r="J1046" s="96"/>
    </row>
    <row r="1047" spans="1:10" ht="15.75">
      <c r="A1047" s="2"/>
      <c r="G1047" s="2"/>
      <c r="H1047" s="93"/>
      <c r="I1047" s="111"/>
      <c r="J1047" s="96"/>
    </row>
    <row r="1048" spans="1:10" ht="15.75">
      <c r="A1048" s="2"/>
      <c r="G1048" s="2"/>
      <c r="H1048" s="93"/>
      <c r="I1048" s="111"/>
      <c r="J1048" s="96"/>
    </row>
    <row r="1049" spans="1:10" ht="15.75">
      <c r="A1049" s="2"/>
      <c r="G1049" s="2"/>
      <c r="H1049" s="93"/>
      <c r="I1049" s="111"/>
      <c r="J1049" s="96"/>
    </row>
    <row r="1050" spans="1:10" ht="15.75">
      <c r="A1050" s="2"/>
      <c r="G1050" s="2"/>
      <c r="H1050" s="93"/>
      <c r="I1050" s="111"/>
      <c r="J1050" s="96"/>
    </row>
    <row r="1051" spans="1:10" ht="15.75">
      <c r="A1051" s="2"/>
      <c r="G1051" s="2"/>
      <c r="H1051" s="93"/>
      <c r="I1051" s="111"/>
      <c r="J1051" s="96"/>
    </row>
    <row r="1052" spans="1:10" ht="15.75">
      <c r="A1052" s="2"/>
      <c r="G1052" s="2"/>
      <c r="H1052" s="93"/>
      <c r="I1052" s="111"/>
      <c r="J1052" s="96"/>
    </row>
    <row r="1053" spans="1:10" ht="15.75">
      <c r="A1053" s="2"/>
      <c r="G1053" s="2"/>
      <c r="H1053" s="93"/>
      <c r="I1053" s="111"/>
      <c r="J1053" s="96"/>
    </row>
    <row r="1054" spans="1:10" ht="15.75">
      <c r="A1054" s="2"/>
      <c r="G1054" s="2"/>
      <c r="H1054" s="93"/>
      <c r="I1054" s="111"/>
      <c r="J1054" s="96"/>
    </row>
    <row r="1055" spans="1:10" ht="15.75">
      <c r="A1055" s="2"/>
      <c r="G1055" s="2"/>
      <c r="H1055" s="93"/>
      <c r="I1055" s="111"/>
      <c r="J1055" s="96"/>
    </row>
    <row r="1056" spans="1:10" ht="15.75">
      <c r="A1056" s="2"/>
      <c r="G1056" s="2"/>
      <c r="H1056" s="93"/>
      <c r="I1056" s="111"/>
      <c r="J1056" s="96"/>
    </row>
    <row r="1057" spans="1:10" ht="15.75">
      <c r="A1057" s="2"/>
      <c r="G1057" s="2"/>
      <c r="H1057" s="93"/>
      <c r="I1057" s="111"/>
      <c r="J1057" s="96"/>
    </row>
    <row r="1058" spans="1:10" ht="15.75">
      <c r="A1058" s="2"/>
      <c r="G1058" s="2"/>
      <c r="H1058" s="93"/>
      <c r="I1058" s="111"/>
      <c r="J1058" s="96"/>
    </row>
    <row r="1059" spans="1:10" ht="15.75">
      <c r="A1059" s="2"/>
      <c r="G1059" s="2"/>
      <c r="H1059" s="93"/>
      <c r="I1059" s="111"/>
      <c r="J1059" s="96"/>
    </row>
    <row r="1060" spans="1:10" ht="15.75">
      <c r="A1060" s="2"/>
      <c r="G1060" s="2"/>
      <c r="H1060" s="93"/>
      <c r="I1060" s="111"/>
      <c r="J1060" s="96"/>
    </row>
    <row r="1061" spans="1:10" ht="15.75">
      <c r="A1061" s="2"/>
      <c r="G1061" s="2"/>
      <c r="H1061" s="93"/>
      <c r="I1061" s="111"/>
      <c r="J1061" s="96"/>
    </row>
    <row r="1062" spans="1:10" ht="15.75">
      <c r="A1062" s="2"/>
      <c r="G1062" s="2"/>
      <c r="H1062" s="93"/>
      <c r="I1062" s="111"/>
      <c r="J1062" s="96"/>
    </row>
    <row r="1063" spans="1:10" ht="15.75">
      <c r="A1063" s="2"/>
      <c r="G1063" s="2"/>
      <c r="H1063" s="93"/>
      <c r="I1063" s="111"/>
      <c r="J1063" s="96"/>
    </row>
    <row r="1064" spans="1:10" ht="15.75">
      <c r="A1064" s="2"/>
      <c r="G1064" s="2"/>
      <c r="H1064" s="93"/>
      <c r="I1064" s="111"/>
      <c r="J1064" s="96"/>
    </row>
    <row r="1065" spans="1:10" ht="15.75">
      <c r="A1065" s="2"/>
      <c r="G1065" s="2"/>
      <c r="H1065" s="93"/>
      <c r="I1065" s="111"/>
      <c r="J1065" s="96"/>
    </row>
    <row r="1066" spans="1:10" ht="15.75">
      <c r="A1066" s="2"/>
      <c r="G1066" s="2"/>
      <c r="H1066" s="93"/>
      <c r="I1066" s="111"/>
      <c r="J1066" s="96"/>
    </row>
    <row r="1067" spans="1:10" ht="15.75">
      <c r="A1067" s="2"/>
      <c r="G1067" s="2"/>
      <c r="H1067" s="93"/>
      <c r="I1067" s="111"/>
      <c r="J1067" s="96"/>
    </row>
    <row r="1068" spans="1:10" ht="15.75">
      <c r="A1068" s="2"/>
      <c r="G1068" s="2"/>
      <c r="H1068" s="93"/>
      <c r="I1068" s="111"/>
      <c r="J1068" s="96"/>
    </row>
    <row r="1069" spans="1:10" ht="15.75">
      <c r="A1069" s="2"/>
      <c r="G1069" s="2"/>
      <c r="H1069" s="93"/>
      <c r="I1069" s="111"/>
      <c r="J1069" s="96"/>
    </row>
    <row r="1070" spans="1:10" ht="15.75">
      <c r="A1070" s="2"/>
      <c r="G1070" s="2"/>
      <c r="H1070" s="93"/>
      <c r="I1070" s="111"/>
      <c r="J1070" s="96"/>
    </row>
    <row r="1071" spans="1:10" ht="15.75">
      <c r="A1071" s="2"/>
      <c r="G1071" s="2"/>
      <c r="H1071" s="93"/>
      <c r="I1071" s="111"/>
      <c r="J1071" s="96"/>
    </row>
    <row r="1072" spans="1:10" ht="15.75">
      <c r="A1072" s="2"/>
      <c r="G1072" s="2"/>
      <c r="H1072" s="93"/>
      <c r="I1072" s="111"/>
      <c r="J1072" s="96"/>
    </row>
    <row r="1073" spans="1:10" ht="15.75">
      <c r="A1073" s="2"/>
      <c r="G1073" s="2"/>
      <c r="H1073" s="93"/>
      <c r="I1073" s="111"/>
      <c r="J1073" s="96"/>
    </row>
    <row r="1074" spans="1:10" ht="15.75">
      <c r="A1074" s="2"/>
      <c r="G1074" s="2"/>
      <c r="H1074" s="93"/>
      <c r="I1074" s="111"/>
      <c r="J1074" s="96"/>
    </row>
    <row r="1075" spans="1:10" ht="15.75">
      <c r="A1075" s="2"/>
      <c r="G1075" s="2"/>
      <c r="H1075" s="93"/>
      <c r="I1075" s="111"/>
      <c r="J1075" s="96"/>
    </row>
    <row r="1076" spans="1:10" ht="15.75">
      <c r="A1076" s="2"/>
      <c r="G1076" s="2"/>
      <c r="H1076" s="93"/>
      <c r="I1076" s="111"/>
      <c r="J1076" s="96"/>
    </row>
    <row r="1077" spans="1:10" ht="15.75">
      <c r="A1077" s="2"/>
      <c r="G1077" s="2"/>
      <c r="H1077" s="93"/>
      <c r="I1077" s="111"/>
      <c r="J1077" s="96"/>
    </row>
    <row r="1078" spans="1:10" ht="15.75">
      <c r="A1078" s="2"/>
      <c r="G1078" s="2"/>
      <c r="H1078" s="93"/>
      <c r="I1078" s="111"/>
      <c r="J1078" s="96"/>
    </row>
    <row r="1079" spans="1:10" ht="15.75">
      <c r="A1079" s="2"/>
      <c r="G1079" s="2"/>
      <c r="H1079" s="93"/>
      <c r="I1079" s="111"/>
      <c r="J1079" s="96"/>
    </row>
    <row r="1080" spans="1:10" ht="15.75">
      <c r="A1080" s="2"/>
      <c r="G1080" s="2"/>
      <c r="H1080" s="93"/>
      <c r="I1080" s="111"/>
      <c r="J1080" s="96"/>
    </row>
    <row r="1081" spans="1:10" ht="15.75">
      <c r="A1081" s="2"/>
      <c r="G1081" s="2"/>
      <c r="H1081" s="93"/>
      <c r="I1081" s="111"/>
      <c r="J1081" s="96"/>
    </row>
    <row r="1082" spans="1:10" ht="15.75">
      <c r="A1082" s="2"/>
      <c r="G1082" s="2"/>
      <c r="H1082" s="93"/>
      <c r="I1082" s="111"/>
      <c r="J1082" s="96"/>
    </row>
    <row r="1083" spans="1:10" ht="15.75">
      <c r="A1083" s="2"/>
      <c r="G1083" s="2"/>
      <c r="H1083" s="93"/>
      <c r="I1083" s="111"/>
      <c r="J1083" s="96"/>
    </row>
    <row r="1084" spans="1:10" ht="15.75">
      <c r="A1084" s="2"/>
      <c r="G1084" s="2"/>
      <c r="H1084" s="93"/>
      <c r="I1084" s="111"/>
      <c r="J1084" s="96"/>
    </row>
    <row r="1085" spans="1:10" ht="15.75">
      <c r="A1085" s="2"/>
      <c r="G1085" s="2"/>
      <c r="H1085" s="93"/>
      <c r="I1085" s="111"/>
      <c r="J1085" s="96"/>
    </row>
    <row r="1086" spans="1:10" ht="15.75">
      <c r="A1086" s="2"/>
      <c r="G1086" s="2"/>
      <c r="H1086" s="93"/>
      <c r="I1086" s="111"/>
      <c r="J1086" s="96"/>
    </row>
    <row r="1087" spans="1:10" ht="15.75">
      <c r="A1087" s="2"/>
      <c r="G1087" s="2"/>
      <c r="H1087" s="93"/>
      <c r="I1087" s="111"/>
      <c r="J1087" s="96"/>
    </row>
    <row r="1088" spans="1:10" ht="15.75">
      <c r="A1088" s="2"/>
      <c r="G1088" s="2"/>
      <c r="H1088" s="93"/>
      <c r="I1088" s="111"/>
      <c r="J1088" s="96"/>
    </row>
    <row r="1089" spans="1:10" ht="15.75">
      <c r="A1089" s="2"/>
      <c r="G1089" s="2"/>
      <c r="H1089" s="93"/>
      <c r="I1089" s="111"/>
      <c r="J1089" s="96"/>
    </row>
    <row r="1090" spans="1:10" ht="15.75">
      <c r="A1090" s="2"/>
      <c r="G1090" s="2"/>
      <c r="H1090" s="93"/>
      <c r="I1090" s="111"/>
      <c r="J1090" s="96"/>
    </row>
    <row r="1091" spans="1:10" ht="15.75">
      <c r="A1091" s="2"/>
      <c r="G1091" s="2"/>
      <c r="H1091" s="93"/>
      <c r="I1091" s="111"/>
      <c r="J1091" s="96"/>
    </row>
    <row r="1092" spans="1:10" ht="15.75">
      <c r="A1092" s="2"/>
      <c r="G1092" s="2"/>
      <c r="H1092" s="93"/>
      <c r="I1092" s="111"/>
      <c r="J1092" s="96"/>
    </row>
    <row r="1093" spans="1:10" ht="15.75">
      <c r="A1093" s="2"/>
      <c r="G1093" s="2"/>
      <c r="H1093" s="93"/>
      <c r="I1093" s="111"/>
      <c r="J1093" s="96"/>
    </row>
    <row r="1094" spans="1:10" ht="15.75">
      <c r="A1094" s="2"/>
      <c r="G1094" s="2"/>
      <c r="H1094" s="93"/>
      <c r="I1094" s="111"/>
      <c r="J1094" s="96"/>
    </row>
    <row r="1095" spans="1:10" ht="15.75">
      <c r="A1095" s="2"/>
      <c r="G1095" s="2"/>
      <c r="H1095" s="93"/>
      <c r="I1095" s="111"/>
      <c r="J1095" s="96"/>
    </row>
    <row r="1096" spans="1:10" ht="15.75">
      <c r="A1096" s="2"/>
      <c r="G1096" s="2"/>
      <c r="H1096" s="93"/>
      <c r="I1096" s="111"/>
      <c r="J1096" s="96"/>
    </row>
    <row r="1097" spans="1:10" ht="15.75">
      <c r="A1097" s="2"/>
      <c r="G1097" s="2"/>
      <c r="H1097" s="93"/>
      <c r="I1097" s="111"/>
      <c r="J1097" s="96"/>
    </row>
    <row r="1098" spans="1:10" ht="15.75">
      <c r="A1098" s="2"/>
      <c r="G1098" s="2"/>
      <c r="H1098" s="93"/>
      <c r="I1098" s="111"/>
      <c r="J1098" s="96"/>
    </row>
    <row r="1099" spans="1:10" ht="15.75">
      <c r="A1099" s="2"/>
      <c r="G1099" s="2"/>
      <c r="H1099" s="93"/>
      <c r="I1099" s="111"/>
      <c r="J1099" s="96"/>
    </row>
    <row r="1100" spans="1:10" ht="15.75">
      <c r="A1100" s="2"/>
      <c r="G1100" s="2"/>
      <c r="H1100" s="93"/>
      <c r="I1100" s="111"/>
      <c r="J1100" s="96"/>
    </row>
    <row r="1101" spans="1:10" ht="15.75">
      <c r="A1101" s="2"/>
      <c r="G1101" s="2"/>
      <c r="H1101" s="93"/>
      <c r="I1101" s="111"/>
      <c r="J1101" s="96"/>
    </row>
    <row r="1102" spans="1:10" ht="15.75">
      <c r="A1102" s="2"/>
      <c r="G1102" s="2"/>
      <c r="H1102" s="93"/>
      <c r="I1102" s="111"/>
      <c r="J1102" s="96"/>
    </row>
    <row r="1103" spans="1:10" ht="15.75">
      <c r="A1103" s="2"/>
      <c r="G1103" s="2"/>
      <c r="H1103" s="93"/>
      <c r="I1103" s="111"/>
      <c r="J1103" s="96"/>
    </row>
    <row r="1104" spans="1:10" ht="15.75">
      <c r="A1104" s="2"/>
      <c r="G1104" s="2"/>
      <c r="H1104" s="93"/>
      <c r="I1104" s="111"/>
      <c r="J1104" s="96"/>
    </row>
    <row r="1105" spans="1:10" ht="15.75">
      <c r="A1105" s="2"/>
      <c r="G1105" s="2"/>
      <c r="H1105" s="93"/>
      <c r="I1105" s="111"/>
      <c r="J1105" s="96"/>
    </row>
    <row r="1106" spans="1:10" ht="15.75">
      <c r="A1106" s="2"/>
      <c r="G1106" s="2"/>
      <c r="H1106" s="93"/>
      <c r="I1106" s="111"/>
      <c r="J1106" s="96"/>
    </row>
    <row r="1107" spans="1:10" ht="15.75">
      <c r="A1107" s="2"/>
      <c r="G1107" s="2"/>
      <c r="H1107" s="93"/>
      <c r="I1107" s="111"/>
      <c r="J1107" s="96"/>
    </row>
    <row r="1108" spans="1:10" ht="15.75">
      <c r="A1108" s="2"/>
      <c r="G1108" s="2"/>
      <c r="H1108" s="93"/>
      <c r="I1108" s="111"/>
      <c r="J1108" s="96"/>
    </row>
    <row r="1109" spans="1:10" ht="15.75">
      <c r="A1109" s="2"/>
      <c r="G1109" s="2"/>
      <c r="H1109" s="93"/>
      <c r="I1109" s="111"/>
      <c r="J1109" s="96"/>
    </row>
    <row r="1110" spans="1:10" ht="15.75">
      <c r="A1110" s="2"/>
      <c r="G1110" s="2"/>
      <c r="H1110" s="93"/>
      <c r="I1110" s="111"/>
      <c r="J1110" s="96"/>
    </row>
    <row r="1111" spans="1:10" ht="15.75">
      <c r="A1111" s="2"/>
      <c r="G1111" s="2"/>
      <c r="H1111" s="93"/>
      <c r="I1111" s="111"/>
      <c r="J1111" s="96"/>
    </row>
    <row r="1112" spans="1:10" ht="15.75">
      <c r="A1112" s="2"/>
      <c r="G1112" s="2"/>
      <c r="H1112" s="93"/>
      <c r="I1112" s="111"/>
      <c r="J1112" s="96"/>
    </row>
    <row r="1113" spans="1:10" ht="15.75">
      <c r="A1113" s="2"/>
      <c r="G1113" s="2"/>
      <c r="H1113" s="93"/>
      <c r="I1113" s="111"/>
      <c r="J1113" s="96"/>
    </row>
    <row r="1114" spans="1:10" ht="15.75">
      <c r="A1114" s="2"/>
      <c r="G1114" s="2"/>
      <c r="H1114" s="93"/>
      <c r="I1114" s="111"/>
      <c r="J1114" s="96"/>
    </row>
    <row r="1115" spans="1:10" ht="15.75">
      <c r="A1115" s="2"/>
      <c r="G1115" s="2"/>
      <c r="H1115" s="93"/>
      <c r="I1115" s="111"/>
      <c r="J1115" s="96"/>
    </row>
    <row r="1116" spans="1:10" ht="15.75">
      <c r="A1116" s="2"/>
      <c r="G1116" s="2"/>
      <c r="H1116" s="93"/>
      <c r="I1116" s="111"/>
      <c r="J1116" s="96"/>
    </row>
    <row r="1117" spans="1:10" ht="15.75">
      <c r="A1117" s="2"/>
      <c r="G1117" s="2"/>
      <c r="H1117" s="93"/>
      <c r="I1117" s="111"/>
      <c r="J1117" s="96"/>
    </row>
    <row r="1118" spans="1:10" ht="15.75">
      <c r="A1118" s="2"/>
      <c r="G1118" s="2"/>
      <c r="H1118" s="93"/>
      <c r="I1118" s="111"/>
      <c r="J1118" s="96"/>
    </row>
    <row r="1119" spans="1:10" ht="15.75">
      <c r="A1119" s="2"/>
      <c r="G1119" s="2"/>
      <c r="H1119" s="93"/>
      <c r="I1119" s="111"/>
      <c r="J1119" s="96"/>
    </row>
    <row r="1120" spans="1:10" ht="15.75">
      <c r="A1120" s="2"/>
      <c r="G1120" s="2"/>
      <c r="H1120" s="93"/>
      <c r="I1120" s="111"/>
      <c r="J1120" s="96"/>
    </row>
    <row r="1121" spans="1:10" ht="15.75">
      <c r="A1121" s="2"/>
      <c r="G1121" s="2"/>
      <c r="H1121" s="93"/>
      <c r="I1121" s="111"/>
      <c r="J1121" s="96"/>
    </row>
    <row r="1122" spans="1:10" ht="15.75">
      <c r="A1122" s="2"/>
      <c r="G1122" s="2"/>
      <c r="H1122" s="93"/>
      <c r="I1122" s="111"/>
      <c r="J1122" s="96"/>
    </row>
    <row r="1123" spans="1:10" ht="15.75">
      <c r="A1123" s="2"/>
      <c r="G1123" s="2"/>
      <c r="H1123" s="93"/>
      <c r="I1123" s="111"/>
      <c r="J1123" s="96"/>
    </row>
    <row r="1124" spans="1:10" ht="15.75">
      <c r="A1124" s="2"/>
      <c r="G1124" s="2"/>
      <c r="H1124" s="93"/>
      <c r="I1124" s="111"/>
      <c r="J1124" s="96"/>
    </row>
    <row r="1125" spans="1:10" ht="15.75">
      <c r="A1125" s="2"/>
      <c r="G1125" s="2"/>
      <c r="H1125" s="93"/>
      <c r="I1125" s="111"/>
      <c r="J1125" s="96"/>
    </row>
    <row r="1126" spans="1:10" ht="15.75">
      <c r="A1126" s="2"/>
      <c r="G1126" s="2"/>
      <c r="H1126" s="93"/>
      <c r="I1126" s="111"/>
      <c r="J1126" s="96"/>
    </row>
    <row r="1127" spans="1:10" ht="15.75">
      <c r="A1127" s="2"/>
      <c r="G1127" s="2"/>
      <c r="H1127" s="93"/>
      <c r="I1127" s="111"/>
      <c r="J1127" s="96"/>
    </row>
    <row r="1128" spans="1:10" ht="15.75">
      <c r="A1128" s="2"/>
      <c r="G1128" s="2"/>
      <c r="H1128" s="93"/>
      <c r="I1128" s="111"/>
      <c r="J1128" s="96"/>
    </row>
    <row r="1129" spans="1:10" ht="15.75">
      <c r="A1129" s="2"/>
      <c r="G1129" s="2"/>
      <c r="H1129" s="93"/>
      <c r="I1129" s="111"/>
      <c r="J1129" s="96"/>
    </row>
    <row r="1130" spans="1:10" ht="15.75">
      <c r="A1130" s="2"/>
      <c r="G1130" s="2"/>
      <c r="H1130" s="93"/>
      <c r="I1130" s="111"/>
      <c r="J1130" s="96"/>
    </row>
    <row r="1131" spans="1:10" ht="15.75">
      <c r="A1131" s="2"/>
      <c r="G1131" s="2"/>
      <c r="H1131" s="93"/>
      <c r="I1131" s="111"/>
      <c r="J1131" s="96"/>
    </row>
    <row r="1132" spans="1:10" ht="15.75">
      <c r="A1132" s="2"/>
      <c r="G1132" s="2"/>
      <c r="H1132" s="93"/>
      <c r="I1132" s="111"/>
      <c r="J1132" s="96"/>
    </row>
    <row r="1133" spans="1:10" ht="15.75">
      <c r="A1133" s="2"/>
      <c r="G1133" s="2"/>
      <c r="H1133" s="2"/>
      <c r="I1133" s="95"/>
      <c r="J1133" s="96"/>
    </row>
    <row r="1134" spans="1:10" ht="15.75">
      <c r="A1134" s="2"/>
      <c r="G1134" s="2"/>
      <c r="H1134" s="2"/>
      <c r="I1134" s="95"/>
      <c r="J1134" s="96"/>
    </row>
    <row r="1135" spans="1:10" ht="15.75">
      <c r="A1135" s="2"/>
      <c r="G1135" s="2"/>
      <c r="H1135" s="2"/>
      <c r="I1135" s="95"/>
      <c r="J1135" s="96"/>
    </row>
    <row r="1136" spans="1:10" ht="15.75">
      <c r="A1136" s="2"/>
      <c r="G1136" s="2"/>
      <c r="H1136" s="2"/>
      <c r="I1136" s="95"/>
      <c r="J1136" s="96"/>
    </row>
    <row r="1137" spans="1:10" ht="15.75">
      <c r="A1137" s="2"/>
      <c r="G1137" s="2"/>
      <c r="H1137" s="2"/>
      <c r="I1137" s="95"/>
      <c r="J1137" s="96"/>
    </row>
    <row r="1138" spans="1:10" ht="15.75">
      <c r="A1138" s="2"/>
      <c r="G1138" s="2"/>
      <c r="H1138" s="2"/>
      <c r="I1138" s="95"/>
      <c r="J1138" s="96"/>
    </row>
    <row r="1139" spans="1:10" ht="15.75">
      <c r="A1139" s="2"/>
      <c r="G1139" s="2"/>
      <c r="H1139" s="2"/>
      <c r="I1139" s="95"/>
      <c r="J1139" s="96"/>
    </row>
    <row r="1140" spans="1:10" ht="15.75">
      <c r="A1140" s="2"/>
      <c r="G1140" s="2"/>
      <c r="H1140" s="2"/>
      <c r="I1140" s="95"/>
      <c r="J1140" s="96"/>
    </row>
    <row r="1141" spans="1:10" ht="15.75">
      <c r="A1141" s="2"/>
      <c r="G1141" s="2"/>
      <c r="H1141" s="2"/>
      <c r="I1141" s="95"/>
      <c r="J1141" s="96"/>
    </row>
    <row r="1142" spans="1:10" ht="15.75">
      <c r="A1142" s="2"/>
      <c r="G1142" s="2"/>
      <c r="H1142" s="2"/>
      <c r="I1142" s="95"/>
      <c r="J1142" s="96"/>
    </row>
    <row r="1143" spans="1:10" ht="15.75">
      <c r="A1143" s="2"/>
      <c r="G1143" s="2"/>
      <c r="H1143" s="2"/>
      <c r="I1143" s="95"/>
      <c r="J1143" s="96"/>
    </row>
    <row r="1144" spans="1:10" ht="15.75">
      <c r="A1144" s="2"/>
      <c r="G1144" s="2"/>
      <c r="H1144" s="2"/>
      <c r="I1144" s="95"/>
      <c r="J1144" s="96"/>
    </row>
    <row r="1145" spans="1:10" ht="15.75">
      <c r="A1145" s="2"/>
      <c r="G1145" s="2"/>
      <c r="H1145" s="2"/>
      <c r="I1145" s="95"/>
      <c r="J1145" s="96"/>
    </row>
    <row r="1146" spans="1:10" ht="15.75">
      <c r="A1146" s="2"/>
      <c r="G1146" s="2"/>
      <c r="H1146" s="2"/>
      <c r="I1146" s="95"/>
      <c r="J1146" s="96"/>
    </row>
    <row r="1147" spans="1:10" ht="15.75">
      <c r="A1147" s="2"/>
      <c r="G1147" s="2"/>
      <c r="H1147" s="2"/>
      <c r="I1147" s="95"/>
      <c r="J1147" s="96"/>
    </row>
    <row r="1148" spans="1:10" ht="15.75">
      <c r="A1148" s="2"/>
      <c r="G1148" s="2"/>
      <c r="H1148" s="2"/>
      <c r="I1148" s="95"/>
      <c r="J1148" s="96"/>
    </row>
    <row r="1149" spans="1:10" ht="15.75">
      <c r="A1149" s="2"/>
      <c r="G1149" s="2"/>
      <c r="H1149" s="2"/>
      <c r="I1149" s="95"/>
      <c r="J1149" s="96"/>
    </row>
    <row r="1150" spans="1:10" ht="15.75">
      <c r="A1150" s="2"/>
      <c r="G1150" s="2"/>
      <c r="H1150" s="2"/>
      <c r="I1150" s="95"/>
      <c r="J1150" s="96"/>
    </row>
    <row r="1151" spans="1:10" ht="15.75">
      <c r="A1151" s="2"/>
      <c r="G1151" s="2"/>
      <c r="H1151" s="2"/>
      <c r="I1151" s="95"/>
      <c r="J1151" s="96"/>
    </row>
    <row r="1152" spans="1:10" ht="15.75">
      <c r="A1152" s="2"/>
      <c r="G1152" s="2"/>
      <c r="H1152" s="2"/>
      <c r="I1152" s="95"/>
      <c r="J1152" s="96"/>
    </row>
    <row r="1153" spans="1:10" ht="15.75">
      <c r="A1153" s="2"/>
      <c r="G1153" s="2"/>
      <c r="H1153" s="2"/>
      <c r="I1153" s="95"/>
      <c r="J1153" s="96"/>
    </row>
    <row r="1154" spans="1:10" ht="15.75">
      <c r="A1154" s="2"/>
      <c r="G1154" s="2"/>
      <c r="H1154" s="2"/>
      <c r="I1154" s="95"/>
      <c r="J1154" s="96"/>
    </row>
    <row r="1155" spans="1:10" ht="15.75">
      <c r="A1155" s="2"/>
      <c r="G1155" s="2"/>
      <c r="H1155" s="2"/>
      <c r="I1155" s="95"/>
      <c r="J1155" s="96"/>
    </row>
    <row r="1156" spans="1:10" ht="15.75">
      <c r="A1156" s="2"/>
      <c r="G1156" s="2"/>
      <c r="H1156" s="2"/>
      <c r="I1156" s="95"/>
      <c r="J1156" s="96"/>
    </row>
    <row r="1157" spans="1:10" ht="15.75">
      <c r="A1157" s="2"/>
      <c r="G1157" s="2"/>
      <c r="H1157" s="2"/>
      <c r="I1157" s="95"/>
      <c r="J1157" s="96"/>
    </row>
    <row r="1158" spans="1:10" ht="15.75">
      <c r="A1158" s="2"/>
      <c r="G1158" s="2"/>
      <c r="H1158" s="2"/>
      <c r="I1158" s="95"/>
      <c r="J1158" s="96"/>
    </row>
    <row r="1159" spans="1:10" ht="15.75">
      <c r="A1159" s="2"/>
      <c r="G1159" s="2"/>
      <c r="H1159" s="2"/>
      <c r="I1159" s="95"/>
      <c r="J1159" s="96"/>
    </row>
    <row r="1160" spans="1:10" ht="15.75">
      <c r="A1160" s="2"/>
      <c r="G1160" s="2"/>
      <c r="H1160" s="2"/>
      <c r="I1160" s="95"/>
      <c r="J1160" s="96"/>
    </row>
    <row r="1161" spans="1:10" ht="15.75">
      <c r="A1161" s="2"/>
      <c r="G1161" s="2"/>
      <c r="H1161" s="2"/>
      <c r="I1161" s="95"/>
      <c r="J1161" s="96"/>
    </row>
    <row r="1162" spans="1:10" ht="15.75">
      <c r="A1162" s="2"/>
      <c r="G1162" s="2"/>
      <c r="H1162" s="2"/>
      <c r="I1162" s="95"/>
      <c r="J1162" s="96"/>
    </row>
    <row r="1163" spans="1:10" ht="15.75">
      <c r="A1163" s="2"/>
      <c r="G1163" s="2"/>
      <c r="H1163" s="2"/>
      <c r="I1163" s="95"/>
      <c r="J1163" s="96"/>
    </row>
    <row r="1164" spans="1:10" ht="15.75">
      <c r="A1164" s="2"/>
      <c r="G1164" s="2"/>
      <c r="H1164" s="2"/>
      <c r="I1164" s="95"/>
      <c r="J1164" s="96"/>
    </row>
    <row r="1165" spans="1:10" ht="15.75">
      <c r="A1165" s="2"/>
      <c r="G1165" s="2"/>
      <c r="H1165" s="2"/>
      <c r="I1165" s="95"/>
      <c r="J1165" s="96"/>
    </row>
    <row r="1166" spans="1:10" ht="15.75">
      <c r="A1166" s="2"/>
      <c r="G1166" s="2"/>
      <c r="H1166" s="2"/>
      <c r="I1166" s="95"/>
      <c r="J1166" s="96"/>
    </row>
    <row r="1167" spans="1:10" ht="15.75">
      <c r="A1167" s="2"/>
      <c r="G1167" s="2"/>
      <c r="H1167" s="2"/>
      <c r="I1167" s="95"/>
      <c r="J1167" s="96"/>
    </row>
    <row r="1168" spans="1:10" ht="15.75">
      <c r="A1168" s="2"/>
      <c r="G1168" s="2"/>
      <c r="H1168" s="2"/>
      <c r="I1168" s="95"/>
      <c r="J1168" s="96"/>
    </row>
    <row r="1169" spans="1:10" ht="15.75">
      <c r="A1169" s="2"/>
      <c r="G1169" s="2"/>
      <c r="H1169" s="2"/>
      <c r="I1169" s="95"/>
      <c r="J1169" s="96"/>
    </row>
    <row r="1170" spans="1:10" ht="15.75">
      <c r="A1170" s="2"/>
      <c r="G1170" s="2"/>
      <c r="H1170" s="2"/>
      <c r="I1170" s="95"/>
      <c r="J1170" s="96"/>
    </row>
    <row r="1171" spans="1:10" ht="15.75">
      <c r="A1171" s="2"/>
      <c r="G1171" s="2"/>
      <c r="H1171" s="2"/>
      <c r="I1171" s="95"/>
      <c r="J1171" s="96"/>
    </row>
    <row r="1172" spans="1:10" ht="15.75">
      <c r="A1172" s="2"/>
      <c r="G1172" s="2"/>
      <c r="H1172" s="2"/>
      <c r="I1172" s="95"/>
      <c r="J1172" s="96"/>
    </row>
    <row r="1173" spans="1:10" ht="15.75">
      <c r="A1173" s="2"/>
      <c r="G1173" s="2"/>
      <c r="H1173" s="2"/>
      <c r="I1173" s="95"/>
      <c r="J1173" s="96"/>
    </row>
    <row r="1174" spans="1:10" ht="15.75">
      <c r="A1174" s="2"/>
      <c r="G1174" s="2"/>
      <c r="H1174" s="2"/>
      <c r="I1174" s="95"/>
      <c r="J1174" s="96"/>
    </row>
    <row r="1175" spans="1:10" ht="15.75">
      <c r="A1175" s="2"/>
      <c r="G1175" s="2"/>
      <c r="H1175" s="2"/>
      <c r="I1175" s="95"/>
      <c r="J1175" s="96"/>
    </row>
    <row r="1176" spans="1:10" ht="15.75">
      <c r="A1176" s="2"/>
      <c r="G1176" s="2"/>
      <c r="H1176" s="2"/>
      <c r="I1176" s="95"/>
      <c r="J1176" s="96"/>
    </row>
    <row r="1177" spans="1:10" ht="15.75">
      <c r="A1177" s="2"/>
      <c r="G1177" s="2"/>
      <c r="H1177" s="2"/>
      <c r="I1177" s="95"/>
      <c r="J1177" s="96"/>
    </row>
    <row r="1178" spans="1:10" ht="15.75">
      <c r="A1178" s="2"/>
      <c r="G1178" s="2"/>
      <c r="H1178" s="2"/>
      <c r="I1178" s="95"/>
      <c r="J1178" s="96"/>
    </row>
    <row r="1179" spans="1:10" ht="15.75">
      <c r="A1179" s="2"/>
      <c r="G1179" s="2"/>
      <c r="H1179" s="2"/>
      <c r="I1179" s="95"/>
      <c r="J1179" s="96"/>
    </row>
    <row r="1180" spans="1:10" ht="15.75">
      <c r="A1180" s="2"/>
      <c r="G1180" s="2"/>
      <c r="H1180" s="2"/>
      <c r="I1180" s="95"/>
      <c r="J1180" s="96"/>
    </row>
    <row r="1181" spans="1:10" ht="15.75">
      <c r="A1181" s="2"/>
      <c r="G1181" s="2"/>
      <c r="H1181" s="2"/>
      <c r="I1181" s="95"/>
      <c r="J1181" s="96"/>
    </row>
    <row r="1182" spans="1:10" ht="15.75">
      <c r="A1182" s="2"/>
      <c r="G1182" s="2"/>
      <c r="H1182" s="2"/>
      <c r="I1182" s="95"/>
      <c r="J1182" s="96"/>
    </row>
    <row r="1183" spans="1:10" ht="15.75">
      <c r="A1183" s="2"/>
      <c r="G1183" s="2"/>
      <c r="H1183" s="2"/>
      <c r="I1183" s="95"/>
      <c r="J1183" s="96"/>
    </row>
    <row r="1184" spans="1:10" ht="15.75">
      <c r="A1184" s="2"/>
      <c r="G1184" s="2"/>
      <c r="H1184" s="2"/>
      <c r="I1184" s="95"/>
      <c r="J1184" s="96"/>
    </row>
    <row r="1185" spans="1:10" ht="15.75">
      <c r="A1185" s="2"/>
      <c r="G1185" s="2"/>
      <c r="H1185" s="2"/>
      <c r="I1185" s="95"/>
      <c r="J1185" s="96"/>
    </row>
    <row r="1186" spans="1:10" ht="15.75">
      <c r="A1186" s="2"/>
      <c r="G1186" s="2"/>
      <c r="H1186" s="2"/>
      <c r="I1186" s="95"/>
      <c r="J1186" s="96"/>
    </row>
    <row r="1187" spans="1:10" ht="15.75">
      <c r="A1187" s="2"/>
      <c r="G1187" s="2"/>
      <c r="H1187" s="2"/>
      <c r="I1187" s="95"/>
      <c r="J1187" s="96"/>
    </row>
    <row r="1188" spans="1:10" ht="15.75">
      <c r="A1188" s="2"/>
      <c r="G1188" s="2"/>
      <c r="H1188" s="2"/>
      <c r="I1188" s="95"/>
      <c r="J1188" s="96"/>
    </row>
    <row r="1189" spans="1:10" ht="15.75">
      <c r="A1189" s="2"/>
      <c r="G1189" s="2"/>
      <c r="H1189" s="2"/>
      <c r="I1189" s="95"/>
      <c r="J1189" s="96"/>
    </row>
    <row r="1190" spans="1:10" ht="15.75">
      <c r="A1190" s="2"/>
      <c r="G1190" s="2"/>
      <c r="H1190" s="2"/>
      <c r="I1190" s="95"/>
      <c r="J1190" s="96"/>
    </row>
    <row r="1191" spans="1:10" ht="15.75">
      <c r="A1191" s="2"/>
      <c r="G1191" s="2"/>
      <c r="H1191" s="2"/>
      <c r="I1191" s="95"/>
      <c r="J1191" s="96"/>
    </row>
    <row r="1192" spans="1:10" ht="15.75">
      <c r="A1192" s="2"/>
      <c r="G1192" s="2"/>
      <c r="H1192" s="2"/>
      <c r="I1192" s="95"/>
      <c r="J1192" s="96"/>
    </row>
    <row r="1193" spans="1:10" ht="15.75">
      <c r="A1193" s="2"/>
      <c r="G1193" s="2"/>
      <c r="H1193" s="2"/>
      <c r="I1193" s="95"/>
      <c r="J1193" s="96"/>
    </row>
    <row r="1194" spans="1:10" ht="15.75">
      <c r="A1194" s="2"/>
      <c r="G1194" s="2"/>
      <c r="H1194" s="2"/>
      <c r="I1194" s="95"/>
      <c r="J1194" s="96"/>
    </row>
    <row r="1195" spans="1:10" ht="15.75">
      <c r="A1195" s="2"/>
      <c r="G1195" s="2"/>
      <c r="H1195" s="2"/>
      <c r="I1195" s="95"/>
      <c r="J1195" s="96"/>
    </row>
    <row r="1196" spans="1:10" ht="15.75">
      <c r="A1196" s="2"/>
      <c r="G1196" s="2"/>
      <c r="H1196" s="2"/>
      <c r="I1196" s="95"/>
      <c r="J1196" s="96"/>
    </row>
    <row r="1197" spans="1:10" ht="15.75">
      <c r="A1197" s="2"/>
      <c r="G1197" s="2"/>
      <c r="H1197" s="2"/>
      <c r="I1197" s="95"/>
      <c r="J1197" s="96"/>
    </row>
    <row r="1198" spans="1:10" ht="15.75">
      <c r="A1198" s="2"/>
      <c r="G1198" s="2"/>
      <c r="H1198" s="2"/>
      <c r="I1198" s="95"/>
      <c r="J1198" s="96"/>
    </row>
    <row r="1199" spans="1:10" ht="15.75">
      <c r="A1199" s="2"/>
      <c r="G1199" s="2"/>
      <c r="H1199" s="2"/>
      <c r="I1199" s="95"/>
      <c r="J1199" s="96"/>
    </row>
    <row r="1200" spans="1:10" ht="15.75">
      <c r="A1200" s="2"/>
      <c r="G1200" s="2"/>
      <c r="H1200" s="2"/>
      <c r="I1200" s="95"/>
      <c r="J1200" s="96"/>
    </row>
    <row r="1201" spans="1:10" ht="15.75">
      <c r="A1201" s="2"/>
      <c r="G1201" s="2"/>
      <c r="H1201" s="2"/>
      <c r="I1201" s="95"/>
      <c r="J1201" s="96"/>
    </row>
    <row r="1202" spans="1:10" ht="15.75">
      <c r="A1202" s="2"/>
      <c r="G1202" s="2"/>
      <c r="H1202" s="2"/>
      <c r="I1202" s="95"/>
      <c r="J1202" s="96"/>
    </row>
    <row r="1203" spans="1:10" ht="15.75">
      <c r="A1203" s="2"/>
      <c r="G1203" s="2"/>
      <c r="H1203" s="2"/>
      <c r="I1203" s="95"/>
      <c r="J1203" s="96"/>
    </row>
    <row r="1204" spans="1:10" ht="15.75">
      <c r="A1204" s="2"/>
      <c r="G1204" s="2"/>
      <c r="H1204" s="2"/>
      <c r="I1204" s="95"/>
      <c r="J1204" s="96"/>
    </row>
    <row r="1205" spans="1:10" ht="15.75">
      <c r="A1205" s="2"/>
      <c r="G1205" s="2"/>
      <c r="H1205" s="2"/>
      <c r="I1205" s="95"/>
      <c r="J1205" s="96"/>
    </row>
    <row r="1206" spans="1:10" ht="15.75">
      <c r="A1206" s="2"/>
      <c r="G1206" s="2"/>
      <c r="H1206" s="2"/>
      <c r="I1206" s="95"/>
      <c r="J1206" s="96"/>
    </row>
    <row r="1207" spans="1:10" ht="15.75">
      <c r="A1207" s="2"/>
      <c r="G1207" s="2"/>
      <c r="H1207" s="2"/>
      <c r="I1207" s="95"/>
      <c r="J1207" s="96"/>
    </row>
    <row r="1208" spans="1:10" ht="15.75">
      <c r="A1208" s="2"/>
      <c r="G1208" s="2"/>
      <c r="H1208" s="2"/>
      <c r="I1208" s="95"/>
      <c r="J1208" s="96"/>
    </row>
    <row r="1209" spans="1:10" ht="15.75">
      <c r="A1209" s="2"/>
      <c r="G1209" s="2"/>
      <c r="H1209" s="2"/>
      <c r="I1209" s="95"/>
      <c r="J1209" s="96"/>
    </row>
    <row r="1210" spans="1:10" ht="15.75">
      <c r="A1210" s="2"/>
      <c r="G1210" s="2"/>
      <c r="H1210" s="2"/>
      <c r="I1210" s="95"/>
      <c r="J1210" s="96"/>
    </row>
    <row r="1211" spans="1:10" ht="15.75">
      <c r="A1211" s="2"/>
      <c r="G1211" s="2"/>
      <c r="H1211" s="2"/>
      <c r="I1211" s="95"/>
      <c r="J1211" s="96"/>
    </row>
    <row r="1212" spans="1:10" ht="15.75">
      <c r="A1212" s="2"/>
      <c r="G1212" s="2"/>
      <c r="H1212" s="2"/>
      <c r="I1212" s="95"/>
      <c r="J1212" s="96"/>
    </row>
    <row r="1213" spans="1:10" ht="15.75">
      <c r="A1213" s="2"/>
      <c r="G1213" s="2"/>
      <c r="H1213" s="2"/>
      <c r="I1213" s="95"/>
      <c r="J1213" s="96"/>
    </row>
    <row r="1214" spans="1:10" ht="15.75">
      <c r="A1214" s="2"/>
      <c r="G1214" s="2"/>
      <c r="H1214" s="2"/>
      <c r="I1214" s="95"/>
      <c r="J1214" s="96"/>
    </row>
    <row r="1215" spans="1:10" ht="15.75">
      <c r="A1215" s="2"/>
      <c r="G1215" s="2"/>
      <c r="H1215" s="2"/>
      <c r="I1215" s="95"/>
      <c r="J1215" s="96"/>
    </row>
    <row r="1216" spans="1:10" ht="15.75">
      <c r="A1216" s="2"/>
      <c r="G1216" s="2"/>
      <c r="H1216" s="2"/>
      <c r="I1216" s="95"/>
      <c r="J1216" s="96"/>
    </row>
    <row r="1217" spans="1:10" ht="15.75">
      <c r="A1217" s="2"/>
      <c r="G1217" s="2"/>
      <c r="H1217" s="2"/>
      <c r="I1217" s="95"/>
      <c r="J1217" s="96"/>
    </row>
    <row r="1218" spans="1:10" ht="15.75">
      <c r="A1218" s="2"/>
      <c r="G1218" s="2"/>
      <c r="H1218" s="2"/>
      <c r="I1218" s="95"/>
      <c r="J1218" s="96"/>
    </row>
    <row r="1219" spans="1:10" ht="15.75">
      <c r="A1219" s="2"/>
      <c r="G1219" s="2"/>
      <c r="H1219" s="2"/>
      <c r="I1219" s="95"/>
      <c r="J1219" s="96"/>
    </row>
    <row r="1220" spans="1:10" ht="15.75">
      <c r="A1220" s="2"/>
      <c r="G1220" s="2"/>
      <c r="H1220" s="2"/>
      <c r="I1220" s="95"/>
      <c r="J1220" s="96"/>
    </row>
    <row r="1221" spans="1:10" ht="15.75">
      <c r="A1221" s="2"/>
      <c r="G1221" s="2"/>
      <c r="H1221" s="2"/>
      <c r="I1221" s="95"/>
      <c r="J1221" s="96"/>
    </row>
    <row r="1222" spans="1:10" ht="15.75">
      <c r="A1222" s="2"/>
      <c r="G1222" s="2"/>
      <c r="H1222" s="2"/>
      <c r="I1222" s="95"/>
      <c r="J1222" s="96"/>
    </row>
    <row r="1223" spans="1:10" ht="15.75">
      <c r="A1223" s="2"/>
      <c r="G1223" s="2"/>
      <c r="H1223" s="2"/>
      <c r="I1223" s="95"/>
      <c r="J1223" s="96"/>
    </row>
    <row r="1224" spans="1:10" ht="15.75">
      <c r="A1224" s="2"/>
      <c r="G1224" s="2"/>
      <c r="H1224" s="2"/>
      <c r="I1224" s="95"/>
      <c r="J1224" s="96"/>
    </row>
    <row r="1225" spans="1:10" ht="15.75">
      <c r="A1225" s="2"/>
      <c r="G1225" s="2"/>
      <c r="H1225" s="2"/>
      <c r="I1225" s="95"/>
      <c r="J1225" s="96"/>
    </row>
    <row r="1226" spans="1:10" ht="15.75">
      <c r="A1226" s="2"/>
      <c r="G1226" s="2"/>
      <c r="H1226" s="2"/>
      <c r="I1226" s="95"/>
      <c r="J1226" s="96"/>
    </row>
    <row r="1227" spans="1:10" ht="15.75">
      <c r="A1227" s="2"/>
      <c r="G1227" s="2"/>
      <c r="H1227" s="2"/>
      <c r="I1227" s="95"/>
      <c r="J1227" s="96"/>
    </row>
    <row r="1228" spans="1:10" ht="15.75">
      <c r="A1228" s="2"/>
      <c r="G1228" s="2"/>
      <c r="H1228" s="2"/>
      <c r="I1228" s="95"/>
      <c r="J1228" s="96"/>
    </row>
    <row r="1229" spans="1:10" ht="15.75">
      <c r="A1229" s="2"/>
      <c r="G1229" s="2"/>
      <c r="H1229" s="2"/>
      <c r="I1229" s="95"/>
      <c r="J1229" s="96"/>
    </row>
    <row r="1230" spans="1:10" ht="15.75">
      <c r="A1230" s="2"/>
      <c r="G1230" s="2"/>
      <c r="H1230" s="2"/>
      <c r="I1230" s="95"/>
      <c r="J1230" s="96"/>
    </row>
    <row r="1231" spans="1:10" ht="15.75">
      <c r="A1231" s="2"/>
      <c r="G1231" s="2"/>
      <c r="H1231" s="2"/>
      <c r="I1231" s="95"/>
      <c r="J1231" s="96"/>
    </row>
    <row r="1232" spans="1:10" ht="15.75">
      <c r="A1232" s="2"/>
      <c r="G1232" s="2"/>
      <c r="H1232" s="2"/>
      <c r="I1232" s="95"/>
      <c r="J1232" s="96"/>
    </row>
    <row r="1233" spans="1:10" ht="15.75">
      <c r="A1233" s="2"/>
      <c r="G1233" s="2"/>
      <c r="H1233" s="2"/>
      <c r="I1233" s="95"/>
      <c r="J1233" s="96"/>
    </row>
    <row r="1234" spans="1:10" ht="15.75">
      <c r="A1234" s="2"/>
      <c r="G1234" s="2"/>
      <c r="H1234" s="2"/>
      <c r="I1234" s="95"/>
      <c r="J1234" s="96"/>
    </row>
    <row r="1235" spans="1:10" ht="15.75">
      <c r="A1235" s="2"/>
      <c r="G1235" s="2"/>
      <c r="H1235" s="2"/>
      <c r="I1235" s="95"/>
      <c r="J1235" s="96"/>
    </row>
    <row r="1236" spans="1:10" ht="15.75">
      <c r="A1236" s="2"/>
      <c r="G1236" s="2"/>
      <c r="H1236" s="2"/>
      <c r="I1236" s="95"/>
      <c r="J1236" s="96"/>
    </row>
    <row r="1237" spans="1:10" ht="15.75">
      <c r="A1237" s="2"/>
      <c r="G1237" s="2"/>
      <c r="H1237" s="2"/>
      <c r="I1237" s="95"/>
      <c r="J1237" s="96"/>
    </row>
    <row r="1238" spans="1:10" ht="15.75">
      <c r="A1238" s="2"/>
      <c r="G1238" s="2"/>
      <c r="H1238" s="2"/>
      <c r="I1238" s="95"/>
      <c r="J1238" s="96"/>
    </row>
    <row r="1239" spans="1:8" ht="15.75">
      <c r="A1239" s="2"/>
      <c r="H1239" s="51"/>
    </row>
    <row r="1240" spans="1:8" ht="15.75">
      <c r="A1240" s="2"/>
      <c r="H1240" s="51"/>
    </row>
    <row r="1241" spans="1:8" ht="15.75">
      <c r="A1241" s="2"/>
      <c r="H1241" s="51"/>
    </row>
    <row r="1242" spans="1:8" ht="15.75">
      <c r="A1242" s="2"/>
      <c r="H1242" s="51"/>
    </row>
    <row r="1243" spans="1:8" ht="15.75">
      <c r="A1243" s="2"/>
      <c r="H1243" s="51"/>
    </row>
    <row r="1244" spans="1:8" ht="15.75">
      <c r="A1244" s="2"/>
      <c r="H1244" s="51"/>
    </row>
    <row r="1245" spans="1:8" ht="15.75">
      <c r="A1245" s="2"/>
      <c r="H1245" s="51"/>
    </row>
    <row r="1246" spans="1:8" ht="15.75">
      <c r="A1246" s="2"/>
      <c r="H1246" s="51"/>
    </row>
    <row r="1247" spans="1:8" ht="15.75">
      <c r="A1247" s="2"/>
      <c r="H1247" s="51"/>
    </row>
    <row r="1248" spans="1:8" ht="15.75">
      <c r="A1248" s="2"/>
      <c r="H1248" s="51"/>
    </row>
    <row r="1249" spans="1:8" ht="15.75">
      <c r="A1249" s="2"/>
      <c r="H1249" s="51"/>
    </row>
    <row r="1250" spans="1:8" ht="15.75">
      <c r="A1250" s="2"/>
      <c r="H1250" s="51"/>
    </row>
    <row r="1251" spans="1:8" ht="15.75">
      <c r="A1251" s="2"/>
      <c r="H1251" s="51"/>
    </row>
    <row r="1252" spans="1:8" ht="15.75">
      <c r="A1252" s="2"/>
      <c r="H1252" s="51"/>
    </row>
    <row r="1253" spans="1:8" ht="15.75">
      <c r="A1253" s="2"/>
      <c r="H1253" s="51"/>
    </row>
    <row r="1254" spans="1:8" ht="15.75">
      <c r="A1254" s="2"/>
      <c r="H1254" s="51"/>
    </row>
    <row r="1255" spans="1:8" ht="15.75">
      <c r="A1255" s="2"/>
      <c r="H1255" s="51"/>
    </row>
    <row r="1256" spans="1:8" ht="15.75">
      <c r="A1256" s="2"/>
      <c r="H1256" s="51"/>
    </row>
    <row r="1257" spans="1:8" ht="15.75">
      <c r="A1257" s="2"/>
      <c r="H1257" s="51"/>
    </row>
    <row r="1258" spans="1:8" ht="15.75">
      <c r="A1258" s="2"/>
      <c r="H1258" s="51"/>
    </row>
    <row r="1259" spans="1:8" ht="15.75">
      <c r="A1259" s="2"/>
      <c r="H1259" s="51"/>
    </row>
    <row r="1260" spans="1:8" ht="15.75">
      <c r="A1260" s="2"/>
      <c r="H1260" s="51"/>
    </row>
    <row r="1261" spans="1:8" ht="15.75">
      <c r="A1261" s="2"/>
      <c r="H1261" s="51"/>
    </row>
    <row r="1262" spans="1:8" ht="15.75">
      <c r="A1262" s="2"/>
      <c r="H1262" s="51"/>
    </row>
    <row r="1263" spans="1:8" ht="15.75">
      <c r="A1263" s="2"/>
      <c r="H1263" s="51"/>
    </row>
    <row r="1264" spans="1:8" ht="15.75">
      <c r="A1264" s="2"/>
      <c r="H1264" s="51"/>
    </row>
    <row r="1265" spans="1:8" ht="15.75">
      <c r="A1265" s="2"/>
      <c r="H1265" s="51"/>
    </row>
    <row r="1266" spans="1:8" ht="15.75">
      <c r="A1266" s="2"/>
      <c r="H1266" s="51"/>
    </row>
    <row r="1267" spans="1:8" ht="15.75">
      <c r="A1267" s="2"/>
      <c r="H1267" s="51"/>
    </row>
    <row r="1268" spans="1:8" ht="15.75">
      <c r="A1268" s="2"/>
      <c r="H1268" s="51"/>
    </row>
    <row r="1269" spans="1:8" ht="15.75">
      <c r="A1269" s="2"/>
      <c r="H1269" s="51"/>
    </row>
    <row r="1270" spans="1:8" ht="15.75">
      <c r="A1270" s="2"/>
      <c r="H1270" s="51"/>
    </row>
    <row r="1271" spans="1:8" ht="15.75">
      <c r="A1271" s="2"/>
      <c r="H1271" s="51"/>
    </row>
    <row r="1272" spans="1:8" ht="15.75">
      <c r="A1272" s="2"/>
      <c r="H1272" s="51"/>
    </row>
    <row r="1273" spans="1:8" ht="15.75">
      <c r="A1273" s="2"/>
      <c r="H1273" s="51"/>
    </row>
    <row r="1274" spans="1:8" ht="15.75">
      <c r="A1274" s="2"/>
      <c r="H1274" s="51"/>
    </row>
    <row r="1275" spans="1:8" ht="15.75">
      <c r="A1275" s="2"/>
      <c r="H1275" s="51"/>
    </row>
    <row r="1276" spans="1:8" ht="15.75">
      <c r="A1276" s="2"/>
      <c r="H1276" s="51"/>
    </row>
    <row r="1277" spans="1:8" ht="15.75">
      <c r="A1277" s="2"/>
      <c r="H1277" s="51"/>
    </row>
    <row r="1278" spans="1:8" ht="15.75">
      <c r="A1278" s="2"/>
      <c r="H1278" s="51"/>
    </row>
    <row r="1279" spans="1:8" ht="15.75">
      <c r="A1279" s="2"/>
      <c r="H1279" s="51"/>
    </row>
    <row r="1280" spans="1:8" ht="15.75">
      <c r="A1280" s="2"/>
      <c r="H1280" s="51"/>
    </row>
    <row r="1281" spans="1:8" ht="15.75">
      <c r="A1281" s="2"/>
      <c r="H1281" s="51"/>
    </row>
    <row r="1282" spans="1:8" ht="15.75">
      <c r="A1282" s="2"/>
      <c r="H1282" s="51"/>
    </row>
    <row r="1283" spans="1:8" ht="15.75">
      <c r="A1283" s="2"/>
      <c r="H1283" s="51"/>
    </row>
    <row r="1284" spans="1:8" ht="15.75">
      <c r="A1284" s="2"/>
      <c r="H1284" s="51"/>
    </row>
    <row r="1285" spans="1:8" ht="15.75">
      <c r="A1285" s="2"/>
      <c r="H1285" s="51"/>
    </row>
    <row r="1286" spans="1:8" ht="15.75">
      <c r="A1286" s="2"/>
      <c r="H1286" s="51"/>
    </row>
    <row r="1287" spans="1:8" ht="15.75">
      <c r="A1287" s="2"/>
      <c r="H1287" s="51"/>
    </row>
    <row r="1288" spans="1:8" ht="15.75">
      <c r="A1288" s="2"/>
      <c r="H1288" s="51"/>
    </row>
    <row r="1289" spans="1:8" ht="15.75">
      <c r="A1289" s="2"/>
      <c r="H1289" s="51"/>
    </row>
    <row r="1290" spans="1:8" ht="15.75">
      <c r="A1290" s="2"/>
      <c r="H1290" s="51"/>
    </row>
    <row r="1291" spans="1:8" ht="15.75">
      <c r="A1291" s="2"/>
      <c r="H1291" s="51"/>
    </row>
    <row r="1292" spans="1:8" ht="15.75">
      <c r="A1292" s="2"/>
      <c r="H1292" s="51"/>
    </row>
    <row r="1293" spans="1:8" ht="15.75">
      <c r="A1293" s="2"/>
      <c r="H1293" s="51"/>
    </row>
    <row r="1294" spans="1:8" ht="15.75">
      <c r="A1294" s="2"/>
      <c r="H1294" s="51"/>
    </row>
    <row r="1295" spans="1:8" ht="15.75">
      <c r="A1295" s="2"/>
      <c r="H1295" s="51"/>
    </row>
    <row r="1296" spans="1:8" ht="15.75">
      <c r="A1296" s="2"/>
      <c r="H1296" s="51"/>
    </row>
    <row r="1297" spans="1:8" ht="15.75">
      <c r="A1297" s="2"/>
      <c r="H1297" s="51"/>
    </row>
    <row r="1298" spans="1:8" ht="15.75">
      <c r="A1298" s="2"/>
      <c r="H1298" s="51"/>
    </row>
    <row r="1299" spans="1:8" ht="15.75">
      <c r="A1299" s="2"/>
      <c r="H1299" s="51"/>
    </row>
    <row r="1300" spans="1:8" ht="15.75">
      <c r="A1300" s="2"/>
      <c r="H1300" s="51"/>
    </row>
    <row r="1301" spans="1:8" ht="15.75">
      <c r="A1301" s="2"/>
      <c r="H1301" s="51"/>
    </row>
    <row r="1302" spans="1:8" ht="15.75">
      <c r="A1302" s="2"/>
      <c r="H1302" s="51"/>
    </row>
    <row r="1303" spans="1:8" ht="15.75">
      <c r="A1303" s="2"/>
      <c r="H1303" s="51"/>
    </row>
    <row r="1304" spans="1:8" ht="15.75">
      <c r="A1304" s="2"/>
      <c r="H1304" s="51"/>
    </row>
    <row r="1305" spans="1:8" ht="15.75">
      <c r="A1305" s="2"/>
      <c r="H1305" s="51"/>
    </row>
    <row r="1306" spans="1:8" ht="15.75">
      <c r="A1306" s="2"/>
      <c r="H1306" s="51"/>
    </row>
    <row r="1307" spans="1:8" ht="15.75">
      <c r="A1307" s="2"/>
      <c r="H1307" s="51"/>
    </row>
    <row r="1308" spans="1:8" ht="15.75">
      <c r="A1308" s="2"/>
      <c r="H1308" s="51"/>
    </row>
    <row r="1309" spans="1:8" ht="15.75">
      <c r="A1309" s="2"/>
      <c r="H1309" s="51"/>
    </row>
    <row r="1310" spans="1:8" ht="15.75">
      <c r="A1310" s="2"/>
      <c r="H1310" s="51"/>
    </row>
    <row r="1311" spans="1:8" ht="15.75">
      <c r="A1311" s="2"/>
      <c r="H1311" s="51"/>
    </row>
    <row r="1312" spans="1:8" ht="15.75">
      <c r="A1312" s="2"/>
      <c r="H1312" s="51"/>
    </row>
    <row r="1313" spans="1:8" ht="15.75">
      <c r="A1313" s="2"/>
      <c r="H1313" s="51"/>
    </row>
    <row r="1314" spans="1:8" ht="15.75">
      <c r="A1314" s="2"/>
      <c r="H1314" s="51"/>
    </row>
    <row r="1315" spans="1:8" ht="15.75">
      <c r="A1315" s="2"/>
      <c r="H1315" s="51"/>
    </row>
    <row r="1316" spans="1:8" ht="15.75">
      <c r="A1316" s="2"/>
      <c r="H1316" s="51"/>
    </row>
    <row r="1317" spans="1:8" ht="15.75">
      <c r="A1317" s="2"/>
      <c r="H1317" s="51"/>
    </row>
    <row r="1318" spans="1:8" ht="15.75">
      <c r="A1318" s="2"/>
      <c r="H1318" s="51"/>
    </row>
    <row r="1319" spans="1:8" ht="15.75">
      <c r="A1319" s="2"/>
      <c r="H1319" s="51"/>
    </row>
    <row r="1320" spans="1:8" ht="15.75">
      <c r="A1320" s="2"/>
      <c r="H1320" s="51"/>
    </row>
    <row r="1321" spans="1:8" ht="15.75">
      <c r="A1321" s="2"/>
      <c r="H1321" s="51"/>
    </row>
    <row r="1322" spans="1:8" ht="15.75">
      <c r="A1322" s="2"/>
      <c r="H1322" s="51"/>
    </row>
    <row r="1323" spans="1:8" ht="15.75">
      <c r="A1323" s="2"/>
      <c r="H1323" s="51"/>
    </row>
    <row r="1324" spans="1:8" ht="15.75">
      <c r="A1324" s="2"/>
      <c r="H1324" s="51"/>
    </row>
    <row r="1325" spans="1:8" ht="15.75">
      <c r="A1325" s="2"/>
      <c r="H1325" s="51"/>
    </row>
    <row r="1326" spans="1:8" ht="15.75">
      <c r="A1326" s="2"/>
      <c r="H1326" s="51"/>
    </row>
    <row r="1327" spans="1:8" ht="15.75">
      <c r="A1327" s="2"/>
      <c r="H1327" s="51"/>
    </row>
    <row r="1328" spans="1:8" ht="15.75">
      <c r="A1328" s="2"/>
      <c r="H1328" s="51"/>
    </row>
    <row r="1329" spans="1:8" ht="15.75">
      <c r="A1329" s="2"/>
      <c r="H1329" s="51"/>
    </row>
    <row r="1330" spans="1:8" ht="15.75">
      <c r="A1330" s="2"/>
      <c r="H1330" s="51"/>
    </row>
    <row r="1331" spans="1:8" ht="15.75">
      <c r="A1331" s="2"/>
      <c r="H1331" s="51"/>
    </row>
    <row r="1332" spans="1:8" ht="15.75">
      <c r="A1332" s="2"/>
      <c r="H1332" s="51"/>
    </row>
    <row r="1333" spans="1:8" ht="15.75">
      <c r="A1333" s="2"/>
      <c r="H1333" s="51"/>
    </row>
    <row r="1334" spans="1:8" ht="15.75">
      <c r="A1334" s="2"/>
      <c r="H1334" s="51"/>
    </row>
    <row r="1335" spans="1:8" ht="15.75">
      <c r="A1335" s="2"/>
      <c r="H1335" s="51"/>
    </row>
    <row r="1336" spans="1:8" ht="15.75">
      <c r="A1336" s="2"/>
      <c r="H1336" s="51"/>
    </row>
    <row r="1337" spans="1:8" ht="15.75">
      <c r="A1337" s="2"/>
      <c r="H1337" s="51"/>
    </row>
    <row r="1338" spans="1:8" ht="15.75">
      <c r="A1338" s="2"/>
      <c r="H1338" s="51"/>
    </row>
    <row r="1339" spans="1:8" ht="15.75">
      <c r="A1339" s="2"/>
      <c r="H1339" s="51"/>
    </row>
    <row r="1340" spans="1:8" ht="15.75">
      <c r="A1340" s="2"/>
      <c r="H1340" s="51"/>
    </row>
    <row r="1341" spans="1:8" ht="15.75">
      <c r="A1341" s="2"/>
      <c r="H1341" s="51"/>
    </row>
    <row r="1342" spans="1:8" ht="15.75">
      <c r="A1342" s="2"/>
      <c r="H1342" s="51"/>
    </row>
    <row r="1343" spans="1:8" ht="15.75">
      <c r="A1343" s="2"/>
      <c r="H1343" s="51"/>
    </row>
    <row r="1344" spans="1:8" ht="15.75">
      <c r="A1344" s="2"/>
      <c r="H1344" s="51"/>
    </row>
    <row r="1345" spans="1:8" ht="15.75">
      <c r="A1345" s="2"/>
      <c r="H1345" s="51"/>
    </row>
    <row r="1346" spans="1:8" ht="15.75">
      <c r="A1346" s="2"/>
      <c r="H1346" s="51"/>
    </row>
    <row r="1347" spans="1:8" ht="15.75">
      <c r="A1347" s="2"/>
      <c r="H1347" s="51"/>
    </row>
    <row r="1348" spans="1:8" ht="15.75">
      <c r="A1348" s="2"/>
      <c r="H1348" s="51"/>
    </row>
    <row r="1349" spans="1:8" ht="15.75">
      <c r="A1349" s="2"/>
      <c r="H1349" s="51"/>
    </row>
    <row r="1350" spans="1:8" ht="15.75">
      <c r="A1350" s="2"/>
      <c r="H1350" s="51"/>
    </row>
    <row r="1351" spans="1:8" ht="15.75">
      <c r="A1351" s="2"/>
      <c r="H1351" s="51"/>
    </row>
    <row r="1352" spans="1:8" ht="15.75">
      <c r="A1352" s="2"/>
      <c r="H1352" s="51"/>
    </row>
    <row r="1353" spans="1:8" ht="15.75">
      <c r="A1353" s="2"/>
      <c r="H1353" s="51"/>
    </row>
    <row r="1354" spans="1:8" ht="15.75">
      <c r="A1354" s="2"/>
      <c r="H1354" s="51"/>
    </row>
    <row r="1355" spans="1:8" ht="15.75">
      <c r="A1355" s="2"/>
      <c r="H1355" s="51"/>
    </row>
    <row r="1356" spans="1:8" ht="15.75">
      <c r="A1356" s="2"/>
      <c r="H1356" s="51"/>
    </row>
    <row r="1357" spans="1:8" ht="15.75">
      <c r="A1357" s="2"/>
      <c r="H1357" s="51"/>
    </row>
    <row r="1358" spans="1:8" ht="15.75">
      <c r="A1358" s="2"/>
      <c r="H1358" s="51"/>
    </row>
    <row r="1359" spans="1:8" ht="15.75">
      <c r="A1359" s="2"/>
      <c r="H1359" s="51"/>
    </row>
    <row r="1360" spans="1:8" ht="15.75">
      <c r="A1360" s="2"/>
      <c r="H1360" s="51"/>
    </row>
  </sheetData>
  <sheetProtection/>
  <autoFilter ref="A11:H11"/>
  <mergeCells count="5">
    <mergeCell ref="H8:H9"/>
    <mergeCell ref="A8:A9"/>
    <mergeCell ref="J8:J9"/>
    <mergeCell ref="B8:F8"/>
    <mergeCell ref="I8:I9"/>
  </mergeCells>
  <printOptions/>
  <pageMargins left="0.7086614173228347" right="0.7086614173228347" top="0.7480314960629921" bottom="0.7480314960629921" header="0.31496062992125984" footer="0.31496062992125984"/>
  <pageSetup fitToHeight="70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2017-03-10T02:51:38Z</cp:lastPrinted>
  <dcterms:created xsi:type="dcterms:W3CDTF">2004-12-07T02:02:50Z</dcterms:created>
  <dcterms:modified xsi:type="dcterms:W3CDTF">2017-03-10T02:51:42Z</dcterms:modified>
  <cp:category/>
  <cp:version/>
  <cp:contentType/>
  <cp:contentStatus/>
</cp:coreProperties>
</file>