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2пмо" sheetId="1" r:id="rId1"/>
  </sheets>
  <definedNames>
    <definedName name="Excel_BuiltIn_Print_Titles_1_1">#REF!</definedName>
    <definedName name="_xlnm.Print_Titles" localSheetId="0">'2пмо'!$4:$7</definedName>
    <definedName name="_xlnm.Print_Area" localSheetId="0">'2пмо'!$A$1:$S$109</definedName>
  </definedNames>
  <calcPr fullCalcOnLoad="1"/>
</workbook>
</file>

<file path=xl/sharedStrings.xml><?xml version="1.0" encoding="utf-8"?>
<sst xmlns="http://schemas.openxmlformats.org/spreadsheetml/2006/main" count="318" uniqueCount="139">
  <si>
    <t>Форма 2п_мо</t>
  </si>
  <si>
    <t>Прогноз основных показателей социально-экономического развития</t>
  </si>
  <si>
    <t>Показатели</t>
  </si>
  <si>
    <t>Единица измерения</t>
  </si>
  <si>
    <t>Периодичность</t>
  </si>
  <si>
    <t>Прогноз</t>
  </si>
  <si>
    <t>год</t>
  </si>
  <si>
    <t>вариант 1</t>
  </si>
  <si>
    <t>вариант 2</t>
  </si>
  <si>
    <t>1. Демографические показатели</t>
  </si>
  <si>
    <t>Численность постоянного населения (среднегодовая) - всего</t>
  </si>
  <si>
    <t>2.  Промышленное производство</t>
  </si>
  <si>
    <t>квартал</t>
  </si>
  <si>
    <t>2.2. Обрабатывающие производства</t>
  </si>
  <si>
    <t>2.3. Производство и распределение электроэнергии, газа и воды</t>
  </si>
  <si>
    <t>2.4. Производство важнейших видов промышленной продукциии</t>
  </si>
  <si>
    <t>Пиломатериалы</t>
  </si>
  <si>
    <t>Мясо, включая субпродукты 1 категории</t>
  </si>
  <si>
    <t>тонн</t>
  </si>
  <si>
    <t>Нерудные строительные материалы</t>
  </si>
  <si>
    <t>Цельномолочная продукция</t>
  </si>
  <si>
    <t>Масло животное</t>
  </si>
  <si>
    <t>Сыры</t>
  </si>
  <si>
    <t>Хлебобулочные изделия</t>
  </si>
  <si>
    <t>3. Сельское хозяйство</t>
  </si>
  <si>
    <t>Продукция сельского хозяйства во всех категориях хозяйств</t>
  </si>
  <si>
    <t>Индекс производства продукции сельского хозяйства в хозяйствах всех категорий</t>
  </si>
  <si>
    <t>в том числе:</t>
  </si>
  <si>
    <t>Продукция растениеводства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</si>
  <si>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</si>
  <si>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</si>
  <si>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</si>
  <si>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3.1. Производство важнейших видов сельхозпродукции</t>
  </si>
  <si>
    <t>Зерно (в весе после доработки)</t>
  </si>
  <si>
    <t>Картофель</t>
  </si>
  <si>
    <t>Пух (в физическом весе)</t>
  </si>
  <si>
    <t>Шерсть (в физическом весе)</t>
  </si>
  <si>
    <t>Панты консервированные</t>
  </si>
  <si>
    <t>Мед</t>
  </si>
  <si>
    <t>Яйца</t>
  </si>
  <si>
    <t>Скот и птица на убой (в живом весе)</t>
  </si>
  <si>
    <t>Молоко (надои)</t>
  </si>
  <si>
    <t>3.2. Поголовье скота в хозяйствах всех категорий</t>
  </si>
  <si>
    <t>Крупный рогатый скот</t>
  </si>
  <si>
    <t>голов</t>
  </si>
  <si>
    <t>в том числе коровы</t>
  </si>
  <si>
    <t>Свиньи</t>
  </si>
  <si>
    <t>Овцы и козы</t>
  </si>
  <si>
    <t>в том числе: овцы</t>
  </si>
  <si>
    <t>Лошади</t>
  </si>
  <si>
    <t>Маралы</t>
  </si>
  <si>
    <t>Птица</t>
  </si>
  <si>
    <t>Пчелосемьи</t>
  </si>
  <si>
    <t>штук</t>
  </si>
  <si>
    <t xml:space="preserve">Оборот розничной торговли </t>
  </si>
  <si>
    <t>Индекс физического объема оборота розничной торговли</t>
  </si>
  <si>
    <t xml:space="preserve"> единиц</t>
  </si>
  <si>
    <t>человек</t>
  </si>
  <si>
    <t>6. Инвестиции</t>
  </si>
  <si>
    <t>Объем инвестиций в основной капитал за счет всех источников финансирования, млн.руб.</t>
  </si>
  <si>
    <t>Объем инвестиций в основной капитал за счет всех источников финансирования, в % к аналогичному периоду предыдущего года в сопоставимых ценах</t>
  </si>
  <si>
    <t>Объем работ, выполненных по виду деятельности «строительство»</t>
  </si>
  <si>
    <t>Объем выполненных работ по виду деятельности "строительство" к аналогичному периоду  предыдущего года</t>
  </si>
  <si>
    <t>Ввод в эксплуатацию жилых домов за счет всех источников финансирования</t>
  </si>
  <si>
    <t>Индивидуальные жилые дома, построенные населением за свой счет и с помощью кредитов</t>
  </si>
  <si>
    <t>Общая площадь жилищного фонда всего</t>
  </si>
  <si>
    <t>тыс.кв.м</t>
  </si>
  <si>
    <t>Средняя обеспеченность населения площадью жилых квартир (на конец года)</t>
  </si>
  <si>
    <t>кв.м. на человека</t>
  </si>
  <si>
    <t>7.  Финансы</t>
  </si>
  <si>
    <t>Доходы местного бюджета,</t>
  </si>
  <si>
    <t xml:space="preserve"> млн.руб.</t>
  </si>
  <si>
    <t>Собственные доходы бюджета</t>
  </si>
  <si>
    <t>Налоговые доходы</t>
  </si>
  <si>
    <t>Неналоговые доходы</t>
  </si>
  <si>
    <t>Безвозмездные поступления от бюджетов других уровней</t>
  </si>
  <si>
    <t>Расходы местного бюджета</t>
  </si>
  <si>
    <t>Дефецит(-),профицит(+) бюджета</t>
  </si>
  <si>
    <t>8. Денежные доходы и расходы населения</t>
  </si>
  <si>
    <t>Доходы - всего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</si>
  <si>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</si>
  <si>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</si>
  <si>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</si>
  <si>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</si>
  <si>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</si>
  <si>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доходы от собственности</t>
  </si>
  <si>
    <t>другие доходы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</si>
  <si>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</si>
  <si>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</si>
  <si>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</si>
  <si>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млн.руб.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</si>
  <si>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</si>
  <si>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</si>
  <si>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</si>
  <si>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</si>
  <si>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другие расходы</t>
  </si>
  <si>
    <t>Превышение доходов над расходами (+), или расходов над доходами (-)</t>
  </si>
  <si>
    <t>%</t>
  </si>
  <si>
    <t>рублей</t>
  </si>
  <si>
    <t>факт</t>
  </si>
  <si>
    <t>2.1. Добыча полезных ископаемых</t>
  </si>
  <si>
    <t>Объем отгруженных товаров собственного производства (работ, услуг) (Добыча полезных ископаемых - С, Обрабатывающие производства - D, Производство и распределение электроэнергии, газа и воды - Е) по полному кругу предприятий</t>
  </si>
  <si>
    <t>Индекс промышленного производства</t>
  </si>
  <si>
    <t>Объем отгруженных товаров собственного производства (работ, услуг) - раздел C "Добыча полезных ископаемых"</t>
  </si>
  <si>
    <t>Индекс производства - раздел C "Добыча полезных ископаемых"</t>
  </si>
  <si>
    <t>Индекс производства - раздел D "Обрабатывающие производства"</t>
  </si>
  <si>
    <t>Объем отгруженных товаров собственного производства (работ, услуг) - раздел E "Производство и распределение электроэнергии, газа и воды"</t>
  </si>
  <si>
    <t>Индекс производства - раздел E "Производство и распределение электроэнергии, газа и воды"</t>
  </si>
  <si>
    <t>тыс.руб.</t>
  </si>
  <si>
    <t>тыс.чел.</t>
  </si>
  <si>
    <t>тыс.тонн</t>
  </si>
  <si>
    <t>тыс.штук</t>
  </si>
  <si>
    <t>тыс.куб.м</t>
  </si>
  <si>
    <t>тыс.человек</t>
  </si>
  <si>
    <t>Объем отгруженных товаров собственного производства (работ, услуг) - раздел D "Обрабатывающие производства"</t>
  </si>
  <si>
    <t>Овощи</t>
  </si>
  <si>
    <t>Количество субъектов МП (включая микропредприятия) - всего по состоянию на конец отчетного периода</t>
  </si>
  <si>
    <t>Среднесписочная численность работников (без внешних совместителей), занятых на предприятиях субъектов МП - всего</t>
  </si>
  <si>
    <t>Количество индивидуальных предпринимателей</t>
  </si>
  <si>
    <t>тыс.кв.м общ.площ.</t>
  </si>
  <si>
    <t>прогноз</t>
  </si>
  <si>
    <t>сравнение</t>
  </si>
  <si>
    <t>Относительное расхождение факта от прогноза,%</t>
  </si>
  <si>
    <t>Темп роста, %</t>
  </si>
  <si>
    <t>центнер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</si>
  <si>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</si>
  <si>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>оценка</t>
  </si>
  <si>
    <t>Среднесписочная численность работников по крупным и средним организациям - всего</t>
  </si>
  <si>
    <t>Уровень зарегистрированной безработицы</t>
  </si>
  <si>
    <t>Среднемесячная заработная плата работников по крупным и средним организациям</t>
  </si>
  <si>
    <t>8. Труд и занятость</t>
  </si>
  <si>
    <t>9. Развитие социальной сферы</t>
  </si>
  <si>
    <t>5. Малое и среднее предпринимательство</t>
  </si>
  <si>
    <t>4. Торговля</t>
  </si>
  <si>
    <t xml:space="preserve">Оборот субъектов МП </t>
  </si>
  <si>
    <t xml:space="preserve"> -</t>
  </si>
  <si>
    <t>-</t>
  </si>
  <si>
    <t>2013 год</t>
  </si>
  <si>
    <t>муниципального образования  "город Горно-Алтайск" Республики Алтай до 2017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</si>
</sst>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&quot;р.&quot;"/>
    <numFmt numFmtId="168" formatCode="#,##0.0"/>
    <numFmt numFmtId="169" formatCode="#,##0.000"/>
    <numFmt numFmtId="170" formatCode="0.0%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;\-#,##0"/>
    <numFmt numFmtId="176" formatCode="0.00000"/>
    <numFmt numFmtId="177" formatCode="0.0000000"/>
    <numFmt numFmtId="178" formatCode="0.000000"/>
    <numFmt numFmtId="179" formatCode="0.000E+00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.000_р_._-;\-* #,##0.000_р_._-;_-* &quot;-&quot;???_р_._-;_-@_-"/>
    <numFmt numFmtId="183" formatCode="0.0;[Red]0.0"/>
    <numFmt numFmtId="184" formatCode="_-* #,##0.0_р_._-;\-* #,##0.0_р_._-;_-* &quot;-&quot;?_р_._-;_-@_-"/>
    <numFmt numFmtId="185" formatCode="0.000%"/>
    <numFmt numFmtId="186" formatCode="0.0_)"/>
  </numFmts>
  <fonts count="30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u val="single"/>
      <sz val="5"/>
      <color indexed="12"/>
      <name val="Arial Cyr"/>
      <family val="2"/>
    </font>
    <font>
      <u val="single"/>
      <sz val="5"/>
      <color indexed="36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5" fillId="10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6" borderId="7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16" borderId="0" applyNumberFormat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17" borderId="10" xfId="55" applyNumberFormat="1" applyFont="1" applyFill="1" applyBorder="1" applyAlignment="1" applyProtection="1">
      <alignment horizontal="justify" vertical="center" wrapText="1"/>
      <protection/>
    </xf>
    <xf numFmtId="0" fontId="5" fillId="17" borderId="10" xfId="55" applyNumberFormat="1" applyFont="1" applyFill="1" applyBorder="1" applyAlignment="1" applyProtection="1">
      <alignment horizontal="center" vertical="center" wrapText="1"/>
      <protection/>
    </xf>
    <xf numFmtId="165" fontId="5" fillId="17" borderId="10" xfId="55" applyNumberFormat="1" applyFont="1" applyFill="1" applyBorder="1" applyAlignment="1" applyProtection="1">
      <alignment horizontal="center" vertical="center" wrapText="1"/>
      <protection/>
    </xf>
    <xf numFmtId="165" fontId="5" fillId="17" borderId="10" xfId="0" applyNumberFormat="1" applyFont="1" applyFill="1" applyBorder="1" applyAlignment="1">
      <alignment horizontal="center" vertical="center" wrapText="1"/>
    </xf>
    <xf numFmtId="0" fontId="5" fillId="17" borderId="0" xfId="0" applyFont="1" applyFill="1" applyAlignment="1">
      <alignment/>
    </xf>
    <xf numFmtId="0" fontId="6" fillId="0" borderId="10" xfId="55" applyNumberFormat="1" applyFont="1" applyFill="1" applyBorder="1" applyAlignment="1" applyProtection="1">
      <alignment horizontal="justify" vertical="center" wrapText="1"/>
      <protection/>
    </xf>
    <xf numFmtId="0" fontId="6" fillId="0" borderId="10" xfId="55" applyNumberFormat="1" applyFont="1" applyFill="1" applyBorder="1" applyAlignment="1" applyProtection="1">
      <alignment horizontal="center" vertical="center" wrapText="1"/>
      <protection/>
    </xf>
    <xf numFmtId="0" fontId="6" fillId="0" borderId="10" xfId="54" applyNumberFormat="1" applyFont="1" applyBorder="1" applyAlignment="1">
      <alignment horizontal="center" vertical="center" wrapText="1"/>
      <protection/>
    </xf>
    <xf numFmtId="165" fontId="6" fillId="0" borderId="10" xfId="55" applyNumberFormat="1" applyFont="1" applyFill="1" applyBorder="1" applyAlignment="1" applyProtection="1">
      <alignment horizontal="center" vertical="center" wrapText="1"/>
      <protection locked="0"/>
    </xf>
    <xf numFmtId="165" fontId="6" fillId="0" borderId="10" xfId="0" applyNumberFormat="1" applyFont="1" applyBorder="1" applyAlignment="1">
      <alignment horizontal="center" vertical="center" wrapText="1"/>
    </xf>
    <xf numFmtId="0" fontId="5" fillId="17" borderId="10" xfId="55" applyNumberFormat="1" applyFont="1" applyFill="1" applyBorder="1" applyAlignment="1" applyProtection="1">
      <alignment horizontal="justify" vertical="center" wrapText="1"/>
      <protection locked="0"/>
    </xf>
    <xf numFmtId="0" fontId="5" fillId="17" borderId="10" xfId="55" applyNumberFormat="1" applyFont="1" applyFill="1" applyBorder="1" applyAlignment="1">
      <alignment horizontal="center" vertical="center" wrapText="1"/>
      <protection/>
    </xf>
    <xf numFmtId="165" fontId="5" fillId="17" borderId="10" xfId="55" applyNumberFormat="1" applyFont="1" applyFill="1" applyBorder="1" applyAlignment="1" applyProtection="1">
      <alignment horizontal="center" vertical="center" wrapText="1"/>
      <protection locked="0"/>
    </xf>
    <xf numFmtId="165" fontId="6" fillId="0" borderId="10" xfId="0" applyNumberFormat="1" applyFont="1" applyFill="1" applyBorder="1" applyAlignment="1">
      <alignment horizontal="center" vertical="center" wrapText="1"/>
    </xf>
    <xf numFmtId="0" fontId="6" fillId="0" borderId="10" xfId="55" applyFont="1" applyFill="1" applyBorder="1" applyAlignment="1" applyProtection="1">
      <alignment horizontal="justify" vertical="center" wrapText="1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10" xfId="55" applyNumberFormat="1" applyFont="1" applyFill="1" applyBorder="1" applyAlignment="1">
      <alignment horizontal="center" vertical="center" wrapText="1"/>
      <protection/>
    </xf>
    <xf numFmtId="1" fontId="6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165" fontId="6" fillId="0" borderId="10" xfId="55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5" fillId="18" borderId="10" xfId="55" applyNumberFormat="1" applyFont="1" applyFill="1" applyBorder="1" applyAlignment="1" applyProtection="1">
      <alignment horizontal="justify" vertical="center" wrapText="1"/>
      <protection/>
    </xf>
    <xf numFmtId="0" fontId="6" fillId="18" borderId="10" xfId="55" applyNumberFormat="1" applyFont="1" applyFill="1" applyBorder="1" applyAlignment="1" applyProtection="1">
      <alignment horizontal="center" vertical="center" wrapText="1"/>
      <protection/>
    </xf>
    <xf numFmtId="0" fontId="6" fillId="18" borderId="10" xfId="54" applyNumberFormat="1" applyFont="1" applyFill="1" applyBorder="1" applyAlignment="1">
      <alignment horizontal="center" vertical="center" wrapText="1"/>
      <protection/>
    </xf>
    <xf numFmtId="0" fontId="6" fillId="18" borderId="10" xfId="55" applyNumberFormat="1" applyFont="1" applyFill="1" applyBorder="1" applyAlignment="1" applyProtection="1">
      <alignment horizontal="justify" vertical="center" wrapText="1"/>
      <protection/>
    </xf>
    <xf numFmtId="0" fontId="6" fillId="18" borderId="10" xfId="55" applyNumberFormat="1" applyFont="1" applyFill="1" applyBorder="1" applyAlignment="1">
      <alignment horizontal="center" vertical="center" wrapText="1"/>
      <protection/>
    </xf>
    <xf numFmtId="1" fontId="6" fillId="0" borderId="0" xfId="0" applyNumberFormat="1" applyFont="1" applyAlignment="1">
      <alignment/>
    </xf>
    <xf numFmtId="165" fontId="6" fillId="0" borderId="0" xfId="0" applyNumberFormat="1" applyFont="1" applyFill="1" applyAlignment="1">
      <alignment horizontal="center" vertical="center" wrapText="1"/>
    </xf>
    <xf numFmtId="0" fontId="8" fillId="0" borderId="0" xfId="54" applyFont="1" applyFill="1" applyBorder="1" applyAlignment="1" applyProtection="1">
      <alignment horizontal="left" vertical="center"/>
      <protection locked="0"/>
    </xf>
    <xf numFmtId="0" fontId="9" fillId="0" borderId="0" xfId="54" applyFont="1" applyFill="1" applyBorder="1" applyAlignment="1" applyProtection="1">
      <alignment horizontal="left" vertical="center"/>
      <protection locked="0"/>
    </xf>
    <xf numFmtId="0" fontId="10" fillId="0" borderId="0" xfId="55" applyFont="1" applyFill="1" applyProtection="1">
      <alignment/>
      <protection locked="0"/>
    </xf>
    <xf numFmtId="165" fontId="10" fillId="0" borderId="0" xfId="55" applyNumberFormat="1" applyFont="1" applyFill="1" applyAlignment="1" applyProtection="1">
      <alignment horizontal="center" vertical="center" wrapText="1"/>
      <protection hidden="1"/>
    </xf>
    <xf numFmtId="0" fontId="10" fillId="0" borderId="0" xfId="55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 applyProtection="1">
      <alignment/>
      <protection locked="0"/>
    </xf>
    <xf numFmtId="1" fontId="6" fillId="0" borderId="10" xfId="55" applyNumberFormat="1" applyFont="1" applyFill="1" applyBorder="1" applyAlignment="1" applyProtection="1">
      <alignment horizontal="justify" vertical="center" wrapText="1"/>
      <protection/>
    </xf>
    <xf numFmtId="1" fontId="6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19" borderId="10" xfId="0" applyFont="1" applyFill="1" applyBorder="1" applyAlignment="1" applyProtection="1">
      <alignment horizontal="center" vertical="center"/>
      <protection hidden="1"/>
    </xf>
    <xf numFmtId="0" fontId="5" fillId="17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7" fillId="20" borderId="0" xfId="0" applyFont="1" applyFill="1" applyAlignment="1">
      <alignment/>
    </xf>
    <xf numFmtId="165" fontId="5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5" fillId="0" borderId="10" xfId="0" applyFont="1" applyFill="1" applyBorder="1" applyAlignment="1" applyProtection="1">
      <alignment vertical="center" wrapText="1"/>
      <protection hidden="1"/>
    </xf>
    <xf numFmtId="165" fontId="6" fillId="0" borderId="10" xfId="0" applyNumberFormat="1" applyFont="1" applyBorder="1" applyAlignment="1">
      <alignment horizontal="center" vertical="center"/>
    </xf>
    <xf numFmtId="0" fontId="6" fillId="0" borderId="10" xfId="55" applyFont="1" applyFill="1" applyBorder="1" applyAlignment="1" applyProtection="1">
      <alignment horizontal="justify" vertical="center" wrapText="1"/>
      <protection hidden="1"/>
    </xf>
    <xf numFmtId="165" fontId="6" fillId="0" borderId="10" xfId="54" applyNumberFormat="1" applyFont="1" applyFill="1" applyBorder="1" applyAlignment="1">
      <alignment horizontal="center" vertical="center" wrapText="1"/>
      <protection/>
    </xf>
    <xf numFmtId="165" fontId="5" fillId="17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5" fontId="5" fillId="0" borderId="10" xfId="55" applyNumberFormat="1" applyFont="1" applyFill="1" applyBorder="1" applyAlignment="1">
      <alignment horizontal="center" vertical="center" wrapText="1"/>
      <protection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64" fontId="6" fillId="0" borderId="10" xfId="55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60" applyNumberFormat="1" applyFont="1" applyFill="1" applyBorder="1" applyAlignment="1">
      <alignment horizontal="center" vertical="center" wrapText="1"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64" fontId="6" fillId="0" borderId="10" xfId="54" applyNumberFormat="1" applyFont="1" applyFill="1" applyBorder="1" applyAlignment="1">
      <alignment horizontal="center" vertical="center" wrapText="1"/>
      <protection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0" xfId="55" applyNumberFormat="1" applyFont="1" applyFill="1" applyBorder="1" applyAlignment="1">
      <alignment horizontal="center" vertical="center" wrapText="1"/>
      <protection/>
    </xf>
    <xf numFmtId="3" fontId="6" fillId="0" borderId="10" xfId="55" applyNumberFormat="1" applyFont="1" applyFill="1" applyBorder="1" applyAlignment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169" fontId="6" fillId="0" borderId="10" xfId="55" applyNumberFormat="1" applyFont="1" applyFill="1" applyBorder="1" applyAlignment="1" applyProtection="1">
      <alignment horizontal="center" vertical="center" wrapText="1"/>
      <protection locked="0"/>
    </xf>
    <xf numFmtId="169" fontId="6" fillId="0" borderId="10" xfId="54" applyNumberFormat="1" applyFont="1" applyFill="1" applyBorder="1" applyAlignment="1">
      <alignment horizontal="center" vertical="center" wrapText="1"/>
      <protection/>
    </xf>
    <xf numFmtId="169" fontId="6" fillId="0" borderId="10" xfId="0" applyNumberFormat="1" applyFont="1" applyFill="1" applyBorder="1" applyAlignment="1">
      <alignment horizontal="center" vertical="center" wrapText="1"/>
    </xf>
    <xf numFmtId="168" fontId="6" fillId="0" borderId="10" xfId="54" applyNumberFormat="1" applyFont="1" applyFill="1" applyBorder="1" applyAlignment="1">
      <alignment horizontal="center" vertical="center" wrapText="1"/>
      <protection/>
    </xf>
    <xf numFmtId="168" fontId="6" fillId="0" borderId="10" xfId="60" applyNumberFormat="1" applyFont="1" applyFill="1" applyBorder="1" applyAlignment="1">
      <alignment horizontal="center" vertical="center" wrapText="1"/>
    </xf>
    <xf numFmtId="3" fontId="6" fillId="0" borderId="10" xfId="55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54" applyNumberFormat="1" applyFont="1" applyFill="1" applyBorder="1" applyAlignment="1">
      <alignment horizontal="center" vertical="center" wrapText="1"/>
      <protection/>
    </xf>
    <xf numFmtId="4" fontId="6" fillId="0" borderId="10" xfId="55" applyNumberFormat="1" applyFont="1" applyFill="1" applyBorder="1" applyAlignment="1" applyProtection="1">
      <alignment horizontal="center" vertical="center" wrapText="1"/>
      <protection locked="0"/>
    </xf>
    <xf numFmtId="168" fontId="6" fillId="0" borderId="10" xfId="55" applyNumberFormat="1" applyFont="1" applyFill="1" applyBorder="1" applyAlignment="1" applyProtection="1">
      <alignment horizontal="center" vertical="center" wrapText="1"/>
      <protection locked="0"/>
    </xf>
    <xf numFmtId="168" fontId="6" fillId="0" borderId="10" xfId="55" applyNumberFormat="1" applyFont="1" applyFill="1" applyBorder="1" applyAlignment="1">
      <alignment horizontal="center" vertical="center" wrapText="1"/>
      <protection/>
    </xf>
    <xf numFmtId="168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168" fontId="6" fillId="0" borderId="10" xfId="0" applyNumberFormat="1" applyFont="1" applyFill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55" applyNumberFormat="1" applyFont="1" applyFill="1" applyBorder="1" applyAlignment="1" applyProtection="1">
      <alignment horizontal="left" vertical="center" wrapText="1"/>
      <protection/>
    </xf>
    <xf numFmtId="169" fontId="12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69" fontId="5" fillId="6" borderId="10" xfId="55" applyNumberFormat="1" applyFont="1" applyFill="1" applyBorder="1" applyAlignment="1" applyProtection="1">
      <alignment horizontal="center" vertical="center" wrapText="1"/>
      <protection/>
    </xf>
    <xf numFmtId="165" fontId="5" fillId="6" borderId="10" xfId="55" applyNumberFormat="1" applyFont="1" applyFill="1" applyBorder="1" applyAlignment="1" applyProtection="1">
      <alignment horizontal="center" vertical="center" wrapText="1"/>
      <protection/>
    </xf>
    <xf numFmtId="165" fontId="5" fillId="6" borderId="10" xfId="55" applyNumberFormat="1" applyFont="1" applyFill="1" applyBorder="1" applyAlignment="1" applyProtection="1">
      <alignment vertical="center" wrapText="1"/>
      <protection/>
    </xf>
    <xf numFmtId="165" fontId="5" fillId="6" borderId="11" xfId="55" applyNumberFormat="1" applyFont="1" applyFill="1" applyBorder="1" applyAlignment="1" applyProtection="1">
      <alignment vertical="center" wrapText="1"/>
      <protection/>
    </xf>
    <xf numFmtId="165" fontId="5" fillId="6" borderId="12" xfId="55" applyNumberFormat="1" applyFont="1" applyFill="1" applyBorder="1" applyAlignment="1" applyProtection="1">
      <alignment vertical="center" wrapText="1"/>
      <protection/>
    </xf>
    <xf numFmtId="165" fontId="5" fillId="6" borderId="13" xfId="55" applyNumberFormat="1" applyFont="1" applyFill="1" applyBorder="1" applyAlignment="1" applyProtection="1">
      <alignment vertical="center" wrapText="1"/>
      <protection/>
    </xf>
    <xf numFmtId="165" fontId="5" fillId="6" borderId="10" xfId="0" applyNumberFormat="1" applyFont="1" applyFill="1" applyBorder="1" applyAlignment="1">
      <alignment horizontal="center" vertical="center"/>
    </xf>
    <xf numFmtId="164" fontId="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5" fontId="5" fillId="21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Font="1" applyFill="1" applyBorder="1" applyAlignment="1" applyProtection="1">
      <alignment horizontal="center" vertical="center" wrapText="1"/>
      <protection hidden="1"/>
    </xf>
    <xf numFmtId="165" fontId="5" fillId="17" borderId="10" xfId="55" applyNumberFormat="1" applyFont="1" applyFill="1" applyBorder="1" applyAlignment="1" applyProtection="1">
      <alignment horizontal="center" vertical="center" wrapText="1"/>
      <protection/>
    </xf>
    <xf numFmtId="0" fontId="5" fillId="19" borderId="10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21" borderId="10" xfId="55" applyFont="1" applyFill="1" applyBorder="1" applyAlignment="1" applyProtection="1">
      <alignment horizontal="justify" vertical="center" wrapText="1"/>
      <protection/>
    </xf>
    <xf numFmtId="0" fontId="5" fillId="17" borderId="10" xfId="55" applyFont="1" applyFill="1" applyBorder="1" applyAlignment="1" applyProtection="1">
      <alignment horizontal="justify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пмо" xfId="53"/>
    <cellStyle name="Обычный_Лист1" xfId="54"/>
    <cellStyle name="Обычный_форма 2 П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F9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S109"/>
  <sheetViews>
    <sheetView tabSelected="1" view="pageBreakPreview" zoomScale="70" zoomScaleNormal="60" zoomScaleSheetLayoutView="70" zoomScalePageLayoutView="60" workbookViewId="0" topLeftCell="A1">
      <pane xSplit="1" ySplit="7" topLeftCell="D6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68" sqref="M68"/>
    </sheetView>
  </sheetViews>
  <sheetFormatPr defaultColWidth="8.875" defaultRowHeight="12.75"/>
  <cols>
    <col min="1" max="1" width="56.75390625" style="2" customWidth="1"/>
    <col min="2" max="2" width="18.25390625" style="2" customWidth="1"/>
    <col min="3" max="3" width="9.875" style="2" hidden="1" customWidth="1"/>
    <col min="4" max="4" width="11.375" style="1" customWidth="1"/>
    <col min="5" max="5" width="12.00390625" style="1" customWidth="1"/>
    <col min="6" max="6" width="15.75390625" style="1" customWidth="1"/>
    <col min="7" max="7" width="15.25390625" style="1" customWidth="1"/>
    <col min="8" max="8" width="11.625" style="31" customWidth="1"/>
    <col min="9" max="9" width="11.00390625" style="2" hidden="1" customWidth="1"/>
    <col min="10" max="10" width="14.00390625" style="2" hidden="1" customWidth="1"/>
    <col min="11" max="11" width="11.00390625" style="2" hidden="1" customWidth="1"/>
    <col min="12" max="12" width="11.375" style="2" hidden="1" customWidth="1"/>
    <col min="13" max="13" width="14.125" style="2" customWidth="1"/>
    <col min="14" max="14" width="13.875" style="2" customWidth="1"/>
    <col min="15" max="15" width="14.375" style="2" customWidth="1"/>
    <col min="16" max="16" width="15.125" style="2" customWidth="1"/>
    <col min="17" max="17" width="14.25390625" style="2" customWidth="1"/>
    <col min="18" max="18" width="16.25390625" style="2" customWidth="1"/>
    <col min="19" max="19" width="15.625" style="2" customWidth="1"/>
    <col min="20" max="16384" width="8.875" style="2" customWidth="1"/>
  </cols>
  <sheetData>
    <row r="1" spans="1:11" s="37" customFormat="1" ht="18.75">
      <c r="A1" s="32" t="s">
        <v>0</v>
      </c>
      <c r="B1" s="33" t="s">
        <v>1</v>
      </c>
      <c r="C1" s="34"/>
      <c r="D1" s="34"/>
      <c r="E1" s="34"/>
      <c r="F1" s="34"/>
      <c r="G1" s="34"/>
      <c r="H1" s="35"/>
      <c r="I1" s="36"/>
      <c r="J1" s="36"/>
      <c r="K1" s="36"/>
    </row>
    <row r="2" spans="1:11" s="37" customFormat="1" ht="18.75">
      <c r="A2" s="38"/>
      <c r="B2" s="33" t="s">
        <v>138</v>
      </c>
      <c r="C2" s="34"/>
      <c r="D2" s="34"/>
      <c r="E2" s="34"/>
      <c r="F2" s="34"/>
      <c r="G2" s="34"/>
      <c r="H2" s="35"/>
      <c r="I2" s="36"/>
      <c r="J2" s="36"/>
      <c r="K2" s="36"/>
    </row>
    <row r="3" spans="1:11" s="37" customFormat="1" ht="18.75">
      <c r="A3" s="38"/>
      <c r="B3" s="33"/>
      <c r="C3" s="34"/>
      <c r="D3" s="34"/>
      <c r="E3" s="34"/>
      <c r="F3" s="34"/>
      <c r="G3" s="34"/>
      <c r="H3" s="35"/>
      <c r="I3" s="36"/>
      <c r="J3" s="36"/>
      <c r="K3" s="36"/>
    </row>
    <row r="4" spans="1:19" ht="21.75" customHeight="1">
      <c r="A4" s="101" t="s">
        <v>2</v>
      </c>
      <c r="B4" s="101" t="s">
        <v>3</v>
      </c>
      <c r="C4" s="101" t="s">
        <v>4</v>
      </c>
      <c r="D4" s="101">
        <v>2012</v>
      </c>
      <c r="E4" s="102" t="s">
        <v>137</v>
      </c>
      <c r="F4" s="102"/>
      <c r="G4" s="102"/>
      <c r="H4" s="102"/>
      <c r="I4" s="41"/>
      <c r="J4" s="100" t="s">
        <v>5</v>
      </c>
      <c r="K4" s="100"/>
      <c r="L4" s="100"/>
      <c r="M4" s="100"/>
      <c r="N4" s="100"/>
      <c r="O4" s="100"/>
      <c r="P4" s="100"/>
      <c r="Q4" s="100"/>
      <c r="R4" s="100"/>
      <c r="S4" s="100"/>
    </row>
    <row r="5" spans="1:19" ht="16.5" customHeight="1">
      <c r="A5" s="101"/>
      <c r="B5" s="101"/>
      <c r="C5" s="101"/>
      <c r="D5" s="101"/>
      <c r="E5" s="102"/>
      <c r="F5" s="102"/>
      <c r="G5" s="102"/>
      <c r="H5" s="102"/>
      <c r="I5" s="43"/>
      <c r="J5" s="100">
        <v>2011</v>
      </c>
      <c r="K5" s="100"/>
      <c r="L5" s="100">
        <v>2014</v>
      </c>
      <c r="M5" s="100"/>
      <c r="N5" s="100">
        <v>2015</v>
      </c>
      <c r="O5" s="100"/>
      <c r="P5" s="105">
        <v>2016</v>
      </c>
      <c r="Q5" s="106"/>
      <c r="R5" s="105">
        <v>2017</v>
      </c>
      <c r="S5" s="106"/>
    </row>
    <row r="6" spans="1:19" ht="16.5" customHeight="1">
      <c r="A6" s="101"/>
      <c r="B6" s="101"/>
      <c r="C6" s="101"/>
      <c r="D6" s="101" t="s">
        <v>99</v>
      </c>
      <c r="E6" s="101" t="s">
        <v>120</v>
      </c>
      <c r="F6" s="101" t="s">
        <v>99</v>
      </c>
      <c r="G6" s="100" t="s">
        <v>121</v>
      </c>
      <c r="H6" s="100"/>
      <c r="I6" s="104" t="s">
        <v>8</v>
      </c>
      <c r="J6" s="100" t="s">
        <v>7</v>
      </c>
      <c r="K6" s="100" t="s">
        <v>8</v>
      </c>
      <c r="L6" s="100" t="s">
        <v>7</v>
      </c>
      <c r="M6" s="100" t="s">
        <v>126</v>
      </c>
      <c r="N6" s="100" t="s">
        <v>7</v>
      </c>
      <c r="O6" s="100" t="s">
        <v>8</v>
      </c>
      <c r="P6" s="98" t="s">
        <v>7</v>
      </c>
      <c r="Q6" s="98" t="s">
        <v>8</v>
      </c>
      <c r="R6" s="98" t="s">
        <v>7</v>
      </c>
      <c r="S6" s="98" t="s">
        <v>8</v>
      </c>
    </row>
    <row r="7" spans="1:19" ht="90.75" customHeight="1">
      <c r="A7" s="101"/>
      <c r="B7" s="101"/>
      <c r="C7" s="101"/>
      <c r="D7" s="101"/>
      <c r="E7" s="101"/>
      <c r="F7" s="101"/>
      <c r="G7" s="48" t="s">
        <v>122</v>
      </c>
      <c r="H7" s="48" t="s">
        <v>123</v>
      </c>
      <c r="I7" s="104"/>
      <c r="J7" s="100"/>
      <c r="K7" s="100"/>
      <c r="L7" s="100"/>
      <c r="M7" s="100"/>
      <c r="N7" s="100"/>
      <c r="O7" s="100"/>
      <c r="P7" s="98"/>
      <c r="Q7" s="98"/>
      <c r="R7" s="98"/>
      <c r="S7" s="98"/>
    </row>
    <row r="8" spans="1:19" s="7" customFormat="1" ht="20.25" customHeight="1">
      <c r="A8" s="3" t="s">
        <v>9</v>
      </c>
      <c r="B8" s="4"/>
      <c r="C8" s="4"/>
      <c r="D8" s="4"/>
      <c r="E8" s="4"/>
      <c r="F8" s="4"/>
      <c r="G8" s="4"/>
      <c r="H8" s="4"/>
      <c r="I8" s="5"/>
      <c r="J8" s="5"/>
      <c r="K8" s="5"/>
      <c r="L8" s="6"/>
      <c r="M8" s="6"/>
      <c r="N8" s="42"/>
      <c r="O8" s="42"/>
      <c r="P8" s="42"/>
      <c r="Q8" s="42"/>
      <c r="R8" s="42"/>
      <c r="S8" s="42"/>
    </row>
    <row r="9" spans="1:19" ht="30.75" customHeight="1">
      <c r="A9" s="8" t="s">
        <v>10</v>
      </c>
      <c r="B9" s="9" t="s">
        <v>113</v>
      </c>
      <c r="C9" s="46" t="s">
        <v>6</v>
      </c>
      <c r="D9" s="60">
        <v>60.274</v>
      </c>
      <c r="E9" s="62">
        <v>61.208</v>
      </c>
      <c r="F9" s="60">
        <v>61.124</v>
      </c>
      <c r="G9" s="58">
        <f>100-(E9*100/F9)</f>
        <v>-0.1374255611543731</v>
      </c>
      <c r="H9" s="58">
        <f>F9/D9*100</f>
        <v>101.41022663171518</v>
      </c>
      <c r="I9" s="23">
        <f>F9*1.01</f>
        <v>61.735240000000005</v>
      </c>
      <c r="J9" s="23">
        <f>F9*1.015</f>
        <v>62.040859999999995</v>
      </c>
      <c r="K9" s="23">
        <f>I9*1.01</f>
        <v>62.352592400000006</v>
      </c>
      <c r="L9" s="23">
        <f>J9*1.015</f>
        <v>62.97147289999999</v>
      </c>
      <c r="M9" s="62">
        <f>F9*1.0082</f>
        <v>61.625216800000004</v>
      </c>
      <c r="N9" s="62">
        <f>M9*1.0031</f>
        <v>61.81625497208001</v>
      </c>
      <c r="O9" s="62">
        <f>M9*1.02</f>
        <v>62.857721136</v>
      </c>
      <c r="P9" s="62">
        <f>N9*1.0034</f>
        <v>62.026430238985085</v>
      </c>
      <c r="Q9" s="62">
        <f>O9*1.018</f>
        <v>63.989160116448005</v>
      </c>
      <c r="R9" s="62">
        <f>P9*1.018</f>
        <v>63.142905983286816</v>
      </c>
      <c r="S9" s="62">
        <f>Q9*1.03</f>
        <v>65.90883491994144</v>
      </c>
    </row>
    <row r="10" spans="1:19" s="7" customFormat="1" ht="15.75">
      <c r="A10" s="13" t="s">
        <v>11</v>
      </c>
      <c r="B10" s="4"/>
      <c r="C10" s="14"/>
      <c r="D10" s="91"/>
      <c r="E10" s="91"/>
      <c r="F10" s="90"/>
      <c r="G10" s="5"/>
      <c r="H10" s="5"/>
      <c r="I10" s="15"/>
      <c r="J10" s="15"/>
      <c r="K10" s="15"/>
      <c r="L10" s="6"/>
      <c r="M10" s="6"/>
      <c r="N10" s="52"/>
      <c r="O10" s="52"/>
      <c r="P10" s="52"/>
      <c r="Q10" s="52"/>
      <c r="R10" s="52"/>
      <c r="S10" s="52"/>
    </row>
    <row r="11" spans="1:19" s="1" customFormat="1" ht="83.25" customHeight="1" hidden="1">
      <c r="A11" s="50" t="s">
        <v>101</v>
      </c>
      <c r="B11" s="18" t="s">
        <v>90</v>
      </c>
      <c r="C11" s="19" t="s">
        <v>12</v>
      </c>
      <c r="D11" s="51"/>
      <c r="E11" s="11"/>
      <c r="F11" s="51"/>
      <c r="G11" s="11"/>
      <c r="H11" s="11"/>
      <c r="I11" s="11"/>
      <c r="J11" s="11"/>
      <c r="K11" s="11"/>
      <c r="L11" s="16"/>
      <c r="M11" s="16"/>
      <c r="N11" s="53"/>
      <c r="O11" s="53"/>
      <c r="P11" s="53"/>
      <c r="Q11" s="53"/>
      <c r="R11" s="53"/>
      <c r="S11" s="53"/>
    </row>
    <row r="12" spans="1:19" ht="31.5" customHeight="1">
      <c r="A12" s="50" t="s">
        <v>102</v>
      </c>
      <c r="B12" s="18" t="s">
        <v>97</v>
      </c>
      <c r="C12" s="78" t="s">
        <v>12</v>
      </c>
      <c r="D12" s="51">
        <v>101.5</v>
      </c>
      <c r="E12" s="11">
        <v>101</v>
      </c>
      <c r="F12" s="51">
        <v>86.9</v>
      </c>
      <c r="G12" s="58">
        <f>F12/E12*100-100</f>
        <v>-13.96039603960395</v>
      </c>
      <c r="H12" s="58">
        <f>F12/D12*100</f>
        <v>85.61576354679804</v>
      </c>
      <c r="I12" s="11"/>
      <c r="J12" s="11"/>
      <c r="K12" s="11"/>
      <c r="L12" s="16"/>
      <c r="M12" s="23">
        <v>101</v>
      </c>
      <c r="N12" s="23">
        <v>101</v>
      </c>
      <c r="O12" s="23">
        <v>104</v>
      </c>
      <c r="P12" s="23">
        <v>101</v>
      </c>
      <c r="Q12" s="23">
        <v>104</v>
      </c>
      <c r="R12" s="23">
        <v>101</v>
      </c>
      <c r="S12" s="23">
        <v>104</v>
      </c>
    </row>
    <row r="13" spans="1:19" s="7" customFormat="1" ht="15.75">
      <c r="A13" s="107" t="s">
        <v>100</v>
      </c>
      <c r="B13" s="107"/>
      <c r="C13" s="107"/>
      <c r="D13" s="92"/>
      <c r="E13" s="92"/>
      <c r="F13" s="92"/>
      <c r="G13" s="99"/>
      <c r="H13" s="99"/>
      <c r="I13" s="15"/>
      <c r="J13" s="15"/>
      <c r="K13" s="15"/>
      <c r="L13" s="6"/>
      <c r="M13" s="6"/>
      <c r="N13" s="52"/>
      <c r="O13" s="52"/>
      <c r="P13" s="52"/>
      <c r="Q13" s="52"/>
      <c r="R13" s="52"/>
      <c r="S13" s="52"/>
    </row>
    <row r="14" spans="1:19" ht="0.75" customHeight="1">
      <c r="A14" s="17" t="s">
        <v>103</v>
      </c>
      <c r="B14" s="18" t="s">
        <v>90</v>
      </c>
      <c r="C14" s="19" t="s">
        <v>12</v>
      </c>
      <c r="D14" s="51"/>
      <c r="E14" s="11"/>
      <c r="F14" s="51"/>
      <c r="G14" s="11"/>
      <c r="H14" s="11"/>
      <c r="I14" s="11"/>
      <c r="J14" s="11"/>
      <c r="K14" s="11"/>
      <c r="L14" s="12"/>
      <c r="M14" s="12"/>
      <c r="N14" s="49"/>
      <c r="O14" s="49"/>
      <c r="P14" s="49"/>
      <c r="Q14" s="49"/>
      <c r="R14" s="49"/>
      <c r="S14" s="49"/>
    </row>
    <row r="15" spans="1:19" ht="33.75" customHeight="1">
      <c r="A15" s="17" t="s">
        <v>104</v>
      </c>
      <c r="B15" s="18" t="s">
        <v>97</v>
      </c>
      <c r="C15" s="78" t="s">
        <v>12</v>
      </c>
      <c r="D15" s="51">
        <v>83</v>
      </c>
      <c r="E15" s="11">
        <v>101.5</v>
      </c>
      <c r="F15" s="51">
        <v>66.9</v>
      </c>
      <c r="G15" s="58">
        <f>F15/E15*100-100</f>
        <v>-34.08866995073892</v>
      </c>
      <c r="H15" s="58">
        <f>F15/D15*100</f>
        <v>80.60240963855424</v>
      </c>
      <c r="I15" s="11"/>
      <c r="J15" s="11"/>
      <c r="K15" s="11"/>
      <c r="L15" s="16"/>
      <c r="M15" s="23">
        <v>101.5</v>
      </c>
      <c r="N15" s="23">
        <v>101</v>
      </c>
      <c r="O15" s="23">
        <v>103</v>
      </c>
      <c r="P15" s="23">
        <v>102</v>
      </c>
      <c r="Q15" s="23">
        <v>104</v>
      </c>
      <c r="R15" s="23">
        <v>102</v>
      </c>
      <c r="S15" s="23">
        <v>105</v>
      </c>
    </row>
    <row r="16" spans="1:19" s="7" customFormat="1" ht="15.75">
      <c r="A16" s="107" t="s">
        <v>13</v>
      </c>
      <c r="B16" s="107"/>
      <c r="C16" s="107"/>
      <c r="D16" s="92"/>
      <c r="E16" s="92"/>
      <c r="F16" s="92"/>
      <c r="G16" s="99"/>
      <c r="H16" s="99"/>
      <c r="I16" s="15"/>
      <c r="J16" s="15"/>
      <c r="K16" s="15"/>
      <c r="L16" s="6"/>
      <c r="M16" s="6"/>
      <c r="N16" s="52"/>
      <c r="O16" s="52"/>
      <c r="P16" s="52"/>
      <c r="Q16" s="52"/>
      <c r="R16" s="52"/>
      <c r="S16" s="52"/>
    </row>
    <row r="17" spans="1:19" ht="65.25" customHeight="1" hidden="1">
      <c r="A17" s="17" t="s">
        <v>114</v>
      </c>
      <c r="B17" s="18" t="s">
        <v>90</v>
      </c>
      <c r="C17" s="19" t="s">
        <v>12</v>
      </c>
      <c r="D17" s="51"/>
      <c r="E17" s="11"/>
      <c r="F17" s="51"/>
      <c r="G17" s="11"/>
      <c r="H17" s="11"/>
      <c r="I17" s="11"/>
      <c r="J17" s="11"/>
      <c r="K17" s="11"/>
      <c r="L17" s="12"/>
      <c r="M17" s="12"/>
      <c r="N17" s="49"/>
      <c r="O17" s="49"/>
      <c r="P17" s="49"/>
      <c r="Q17" s="49"/>
      <c r="R17" s="49"/>
      <c r="S17" s="49"/>
    </row>
    <row r="18" spans="1:19" ht="31.5">
      <c r="A18" s="17" t="s">
        <v>105</v>
      </c>
      <c r="B18" s="18" t="s">
        <v>97</v>
      </c>
      <c r="C18" s="78" t="s">
        <v>12</v>
      </c>
      <c r="D18" s="51">
        <v>95</v>
      </c>
      <c r="E18" s="11">
        <v>102</v>
      </c>
      <c r="F18" s="51">
        <v>89.7</v>
      </c>
      <c r="G18" s="58">
        <f>F18/E18*100-100</f>
        <v>-12.058823529411768</v>
      </c>
      <c r="H18" s="58">
        <f>F18/D18*100</f>
        <v>94.42105263157895</v>
      </c>
      <c r="I18" s="11"/>
      <c r="J18" s="11"/>
      <c r="K18" s="11"/>
      <c r="L18" s="16"/>
      <c r="M18" s="23">
        <v>101.5</v>
      </c>
      <c r="N18" s="23">
        <v>101</v>
      </c>
      <c r="O18" s="23">
        <v>103</v>
      </c>
      <c r="P18" s="23">
        <v>101</v>
      </c>
      <c r="Q18" s="23">
        <v>103</v>
      </c>
      <c r="R18" s="23">
        <v>102</v>
      </c>
      <c r="S18" s="23">
        <v>104</v>
      </c>
    </row>
    <row r="19" spans="1:19" s="7" customFormat="1" ht="34.5" customHeight="1">
      <c r="A19" s="107" t="s">
        <v>14</v>
      </c>
      <c r="B19" s="107"/>
      <c r="C19" s="107"/>
      <c r="D19" s="92"/>
      <c r="E19" s="92"/>
      <c r="F19" s="92"/>
      <c r="G19" s="99"/>
      <c r="H19" s="99"/>
      <c r="I19" s="15"/>
      <c r="J19" s="15"/>
      <c r="K19" s="15"/>
      <c r="L19" s="6"/>
      <c r="M19" s="6"/>
      <c r="N19" s="52"/>
      <c r="O19" s="52"/>
      <c r="P19" s="52"/>
      <c r="Q19" s="52"/>
      <c r="R19" s="52"/>
      <c r="S19" s="52"/>
    </row>
    <row r="20" spans="1:19" ht="47.25" hidden="1">
      <c r="A20" s="17" t="s">
        <v>106</v>
      </c>
      <c r="B20" s="18" t="s">
        <v>90</v>
      </c>
      <c r="C20" s="19" t="s">
        <v>12</v>
      </c>
      <c r="D20" s="51"/>
      <c r="E20" s="11"/>
      <c r="F20" s="51"/>
      <c r="G20" s="11"/>
      <c r="H20" s="11"/>
      <c r="I20" s="11"/>
      <c r="J20" s="11"/>
      <c r="K20" s="11"/>
      <c r="L20" s="12"/>
      <c r="M20" s="12"/>
      <c r="N20" s="49"/>
      <c r="O20" s="49"/>
      <c r="P20" s="49"/>
      <c r="Q20" s="49"/>
      <c r="R20" s="49"/>
      <c r="S20" s="49"/>
    </row>
    <row r="21" spans="1:19" ht="48" customHeight="1">
      <c r="A21" s="17" t="s">
        <v>107</v>
      </c>
      <c r="B21" s="18" t="s">
        <v>97</v>
      </c>
      <c r="C21" s="78" t="s">
        <v>12</v>
      </c>
      <c r="D21" s="51">
        <v>115</v>
      </c>
      <c r="E21" s="23">
        <v>100</v>
      </c>
      <c r="F21" s="51">
        <v>87.5</v>
      </c>
      <c r="G21" s="58">
        <f>F21/E21*100-100</f>
        <v>-12.5</v>
      </c>
      <c r="H21" s="58">
        <f>F21/D21*100</f>
        <v>76.08695652173914</v>
      </c>
      <c r="I21" s="11"/>
      <c r="J21" s="11"/>
      <c r="K21" s="11"/>
      <c r="L21" s="16"/>
      <c r="M21" s="23">
        <v>96</v>
      </c>
      <c r="N21" s="23">
        <v>97</v>
      </c>
      <c r="O21" s="23">
        <v>95</v>
      </c>
      <c r="P21" s="23">
        <v>98</v>
      </c>
      <c r="Q21" s="23">
        <v>95</v>
      </c>
      <c r="R21" s="23">
        <v>98</v>
      </c>
      <c r="S21" s="23">
        <v>95</v>
      </c>
    </row>
    <row r="22" spans="1:19" s="7" customFormat="1" ht="29.25" customHeight="1">
      <c r="A22" s="108" t="s">
        <v>15</v>
      </c>
      <c r="B22" s="108"/>
      <c r="C22" s="108"/>
      <c r="D22" s="92"/>
      <c r="E22" s="92"/>
      <c r="F22" s="92"/>
      <c r="G22" s="103"/>
      <c r="H22" s="103"/>
      <c r="I22" s="15"/>
      <c r="J22" s="15"/>
      <c r="K22" s="15"/>
      <c r="L22" s="6"/>
      <c r="M22" s="6"/>
      <c r="N22" s="52"/>
      <c r="O22" s="52"/>
      <c r="P22" s="52"/>
      <c r="Q22" s="52"/>
      <c r="R22" s="52"/>
      <c r="S22" s="52"/>
    </row>
    <row r="23" spans="1:19" ht="18.75" customHeight="1">
      <c r="A23" s="8" t="s">
        <v>16</v>
      </c>
      <c r="B23" s="9" t="s">
        <v>112</v>
      </c>
      <c r="C23" s="46" t="s">
        <v>12</v>
      </c>
      <c r="D23" s="66">
        <v>4.47</v>
      </c>
      <c r="E23" s="65">
        <v>4.694</v>
      </c>
      <c r="F23" s="66">
        <v>3.72</v>
      </c>
      <c r="G23" s="58">
        <f>(F23/E23-1)*100</f>
        <v>-20.749893481039617</v>
      </c>
      <c r="H23" s="58">
        <f>F23/D23*100</f>
        <v>83.22147651006713</v>
      </c>
      <c r="I23" s="11"/>
      <c r="J23" s="11"/>
      <c r="K23" s="11"/>
      <c r="L23" s="16"/>
      <c r="M23" s="65">
        <f>F23*1.02</f>
        <v>3.7944000000000004</v>
      </c>
      <c r="N23" s="67">
        <f>M23*1.03</f>
        <v>3.9082320000000004</v>
      </c>
      <c r="O23" s="67">
        <f>M23*1.1</f>
        <v>4.173840000000001</v>
      </c>
      <c r="P23" s="67">
        <f>N23*1.03</f>
        <v>4.02547896</v>
      </c>
      <c r="Q23" s="67">
        <f>O23*1.12</f>
        <v>4.674700800000002</v>
      </c>
      <c r="R23" s="67">
        <f>P23*1.03</f>
        <v>4.1462433288</v>
      </c>
      <c r="S23" s="67">
        <f>Q23*1.15</f>
        <v>5.375905920000002</v>
      </c>
    </row>
    <row r="24" spans="1:19" ht="33" customHeight="1">
      <c r="A24" s="8" t="s">
        <v>17</v>
      </c>
      <c r="B24" s="9" t="s">
        <v>18</v>
      </c>
      <c r="C24" s="46" t="s">
        <v>12</v>
      </c>
      <c r="D24" s="65">
        <v>1.27</v>
      </c>
      <c r="E24" s="66">
        <v>1.334</v>
      </c>
      <c r="F24" s="65">
        <v>0</v>
      </c>
      <c r="G24" s="71">
        <v>0</v>
      </c>
      <c r="H24" s="58">
        <f>F24/D24*100</f>
        <v>0</v>
      </c>
      <c r="I24" s="11" t="s">
        <v>135</v>
      </c>
      <c r="J24" s="11" t="s">
        <v>135</v>
      </c>
      <c r="K24" s="11" t="s">
        <v>135</v>
      </c>
      <c r="L24" s="11" t="s">
        <v>135</v>
      </c>
      <c r="M24" s="65">
        <f>F24*1.05</f>
        <v>0</v>
      </c>
      <c r="N24" s="67">
        <f>M24*1.05</f>
        <v>0</v>
      </c>
      <c r="O24" s="67">
        <f>M24*1.1</f>
        <v>0</v>
      </c>
      <c r="P24" s="67">
        <f>N24*1.05</f>
        <v>0</v>
      </c>
      <c r="Q24" s="67">
        <f>O24*1.1</f>
        <v>0</v>
      </c>
      <c r="R24" s="67">
        <f>P24*1.05</f>
        <v>0</v>
      </c>
      <c r="S24" s="67">
        <f>Q24*1.1</f>
        <v>0</v>
      </c>
    </row>
    <row r="25" spans="1:19" ht="20.25" customHeight="1">
      <c r="A25" s="8" t="s">
        <v>19</v>
      </c>
      <c r="B25" s="9" t="s">
        <v>66</v>
      </c>
      <c r="C25" s="46" t="s">
        <v>12</v>
      </c>
      <c r="D25" s="66">
        <v>389.74</v>
      </c>
      <c r="E25" s="65">
        <v>409.227</v>
      </c>
      <c r="F25" s="66">
        <v>286.84</v>
      </c>
      <c r="G25" s="58">
        <f>(F25/E25-1)*100</f>
        <v>-29.90687320240356</v>
      </c>
      <c r="H25" s="58">
        <f>F25/D25*100</f>
        <v>73.59778313747626</v>
      </c>
      <c r="I25" s="11"/>
      <c r="J25" s="11"/>
      <c r="K25" s="11"/>
      <c r="L25" s="16"/>
      <c r="M25" s="65">
        <f>F25*1.02</f>
        <v>292.5768</v>
      </c>
      <c r="N25" s="67">
        <f>M25*1.03</f>
        <v>301.354104</v>
      </c>
      <c r="O25" s="67">
        <f>M25*1.1</f>
        <v>321.83448000000004</v>
      </c>
      <c r="P25" s="67">
        <f>N25*1.03</f>
        <v>310.39472712</v>
      </c>
      <c r="Q25" s="67">
        <f>O25*1.12</f>
        <v>360.45461760000006</v>
      </c>
      <c r="R25" s="67">
        <f>P25*1.03</f>
        <v>319.7065689336</v>
      </c>
      <c r="S25" s="67">
        <f>Q25*1.15</f>
        <v>414.52281024</v>
      </c>
    </row>
    <row r="26" spans="1:19" ht="18.75" customHeight="1">
      <c r="A26" s="17" t="s">
        <v>20</v>
      </c>
      <c r="B26" s="18" t="s">
        <v>18</v>
      </c>
      <c r="C26" s="78" t="s">
        <v>12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</row>
    <row r="27" spans="1:19" ht="16.5" customHeight="1">
      <c r="A27" s="17" t="s">
        <v>21</v>
      </c>
      <c r="B27" s="18" t="s">
        <v>18</v>
      </c>
      <c r="C27" s="78" t="s">
        <v>12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</row>
    <row r="28" spans="1:19" ht="17.25" customHeight="1">
      <c r="A28" s="17" t="s">
        <v>22</v>
      </c>
      <c r="B28" s="18" t="s">
        <v>18</v>
      </c>
      <c r="C28" s="78" t="s">
        <v>12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</row>
    <row r="29" spans="1:19" ht="20.25" customHeight="1">
      <c r="A29" s="17" t="s">
        <v>23</v>
      </c>
      <c r="B29" s="18" t="s">
        <v>18</v>
      </c>
      <c r="C29" s="78" t="s">
        <v>12</v>
      </c>
      <c r="D29" s="66">
        <v>1409.74</v>
      </c>
      <c r="E29" s="65">
        <v>1480.227</v>
      </c>
      <c r="F29" s="66">
        <v>863.09</v>
      </c>
      <c r="G29" s="58">
        <f>(F29/E29-1)*100</f>
        <v>-41.692051286728315</v>
      </c>
      <c r="H29" s="58">
        <f>F29/D29*100</f>
        <v>61.22334614893526</v>
      </c>
      <c r="I29" s="11"/>
      <c r="J29" s="11"/>
      <c r="K29" s="11"/>
      <c r="L29" s="16"/>
      <c r="M29" s="65">
        <f>F29*1.02</f>
        <v>880.3518</v>
      </c>
      <c r="N29" s="67">
        <f>M29*1.03</f>
        <v>906.7623540000001</v>
      </c>
      <c r="O29" s="67">
        <f>M29*1.1</f>
        <v>968.3869800000001</v>
      </c>
      <c r="P29" s="67">
        <f>N29*1.03</f>
        <v>933.9652246200001</v>
      </c>
      <c r="Q29" s="67">
        <f>O29*1.12</f>
        <v>1084.5934176000003</v>
      </c>
      <c r="R29" s="67">
        <f>P29*1.03</f>
        <v>961.9841813586002</v>
      </c>
      <c r="S29" s="67">
        <f>Q29*1.15</f>
        <v>1247.2824302400002</v>
      </c>
    </row>
    <row r="30" spans="1:19" s="7" customFormat="1" ht="15.75">
      <c r="A30" s="3" t="s">
        <v>24</v>
      </c>
      <c r="B30" s="4"/>
      <c r="C30" s="14"/>
      <c r="D30" s="91"/>
      <c r="E30" s="91"/>
      <c r="F30" s="91"/>
      <c r="G30" s="5"/>
      <c r="H30" s="5"/>
      <c r="I30" s="15"/>
      <c r="J30" s="15"/>
      <c r="K30" s="15"/>
      <c r="L30" s="6"/>
      <c r="M30" s="6"/>
      <c r="N30" s="52"/>
      <c r="O30" s="52"/>
      <c r="P30" s="52"/>
      <c r="Q30" s="52"/>
      <c r="R30" s="52"/>
      <c r="S30" s="52"/>
    </row>
    <row r="31" spans="1:19" ht="31.5">
      <c r="A31" s="8" t="s">
        <v>25</v>
      </c>
      <c r="B31" s="9" t="s">
        <v>90</v>
      </c>
      <c r="C31" s="46" t="s">
        <v>12</v>
      </c>
      <c r="D31" s="51">
        <v>184.8</v>
      </c>
      <c r="E31" s="11">
        <v>100.758</v>
      </c>
      <c r="F31" s="51">
        <v>166.8</v>
      </c>
      <c r="G31" s="58">
        <f>(F31/E31-1)*100</f>
        <v>65.54516762936939</v>
      </c>
      <c r="H31" s="58">
        <f aca="true" t="shared" si="0" ref="H31:H36">F31/D31*100</f>
        <v>90.25974025974025</v>
      </c>
      <c r="I31" s="11"/>
      <c r="J31" s="11"/>
      <c r="K31" s="11"/>
      <c r="L31" s="16"/>
      <c r="M31" s="67">
        <f>M34+M36</f>
        <v>118.696</v>
      </c>
      <c r="N31" s="67">
        <f aca="true" t="shared" si="1" ref="N31:S31">N34+N36</f>
        <v>84.55112</v>
      </c>
      <c r="O31" s="67">
        <f t="shared" si="1"/>
        <v>93.6568</v>
      </c>
      <c r="P31" s="67">
        <f t="shared" si="1"/>
        <v>60.285306399999996</v>
      </c>
      <c r="Q31" s="67">
        <f t="shared" si="1"/>
        <v>74.01544000000001</v>
      </c>
      <c r="R31" s="67">
        <f t="shared" si="1"/>
        <v>43.020945608</v>
      </c>
      <c r="S31" s="67">
        <f t="shared" si="1"/>
        <v>58.57535200000001</v>
      </c>
    </row>
    <row r="32" spans="1:19" ht="29.25" customHeight="1">
      <c r="A32" s="8" t="s">
        <v>26</v>
      </c>
      <c r="B32" s="9" t="s">
        <v>97</v>
      </c>
      <c r="C32" s="46" t="s">
        <v>12</v>
      </c>
      <c r="D32" s="68">
        <v>87.1</v>
      </c>
      <c r="E32" s="73">
        <v>72.9</v>
      </c>
      <c r="F32" s="68">
        <v>81.9</v>
      </c>
      <c r="G32" s="58">
        <f aca="true" t="shared" si="2" ref="G31:G36">(F32/E32-1)*100</f>
        <v>12.345679012345666</v>
      </c>
      <c r="H32" s="58">
        <f>F32/D32*100</f>
        <v>94.02985074626868</v>
      </c>
      <c r="I32" s="73"/>
      <c r="J32" s="73"/>
      <c r="K32" s="73"/>
      <c r="L32" s="75"/>
      <c r="M32" s="75">
        <f>M31/F31*100</f>
        <v>71.16067146282973</v>
      </c>
      <c r="N32" s="79">
        <f>N31/M31*100</f>
        <v>71.233335579969</v>
      </c>
      <c r="O32" s="79">
        <f>O31/M31*100</f>
        <v>78.90476511424143</v>
      </c>
      <c r="P32" s="79">
        <f>P31/N31*100</f>
        <v>71.3004232232524</v>
      </c>
      <c r="Q32" s="79">
        <f>Q31/O31*100</f>
        <v>79.02836740097891</v>
      </c>
      <c r="R32" s="79">
        <f>R31/P31*100</f>
        <v>71.36224094566434</v>
      </c>
      <c r="S32" s="79">
        <f>S31/Q31*100</f>
        <v>79.13936875873466</v>
      </c>
    </row>
    <row r="33" spans="1:19" ht="15.75">
      <c r="A33" s="8" t="s">
        <v>27</v>
      </c>
      <c r="B33" s="9"/>
      <c r="C33" s="20"/>
      <c r="D33" s="23"/>
      <c r="E33" s="11"/>
      <c r="F33" s="23"/>
      <c r="G33" s="58"/>
      <c r="H33" s="58"/>
      <c r="I33" s="11"/>
      <c r="J33" s="11"/>
      <c r="K33" s="11"/>
      <c r="L33" s="16"/>
      <c r="M33" s="67"/>
      <c r="N33" s="80"/>
      <c r="O33" s="80"/>
      <c r="P33" s="80"/>
      <c r="Q33" s="80"/>
      <c r="R33" s="80"/>
      <c r="S33" s="80"/>
    </row>
    <row r="34" spans="1:19" ht="15.75">
      <c r="A34" s="8" t="s">
        <v>28</v>
      </c>
      <c r="B34" s="9" t="s">
        <v>90</v>
      </c>
      <c r="C34" s="46" t="s">
        <v>12</v>
      </c>
      <c r="D34" s="51">
        <v>152.8</v>
      </c>
      <c r="E34" s="57">
        <v>71.208</v>
      </c>
      <c r="F34" s="60">
        <v>146.8</v>
      </c>
      <c r="G34" s="97">
        <f t="shared" si="2"/>
        <v>106.1566116166723</v>
      </c>
      <c r="H34" s="97">
        <f t="shared" si="0"/>
        <v>96.07329842931938</v>
      </c>
      <c r="I34" s="11"/>
      <c r="J34" s="11"/>
      <c r="K34" s="11"/>
      <c r="L34" s="16"/>
      <c r="M34" s="67">
        <f>F34*M35/100</f>
        <v>105.696</v>
      </c>
      <c r="N34" s="80">
        <f>M34*N35/100</f>
        <v>76.10112</v>
      </c>
      <c r="O34" s="80">
        <f>M34*O35/100</f>
        <v>84.55680000000001</v>
      </c>
      <c r="P34" s="80">
        <f>N34*P35/100</f>
        <v>54.792806399999996</v>
      </c>
      <c r="Q34" s="80">
        <f>O34*Q35/100</f>
        <v>67.64544000000001</v>
      </c>
      <c r="R34" s="80">
        <f>P34*R35/100</f>
        <v>39.450820608</v>
      </c>
      <c r="S34" s="80">
        <f>Q34*S35/100</f>
        <v>54.116352000000006</v>
      </c>
    </row>
    <row r="35" spans="1:19" ht="31.5" customHeight="1">
      <c r="A35" s="8" t="s">
        <v>29</v>
      </c>
      <c r="B35" s="9" t="s">
        <v>97</v>
      </c>
      <c r="C35" s="46" t="s">
        <v>12</v>
      </c>
      <c r="D35" s="68">
        <v>98.5</v>
      </c>
      <c r="E35" s="73">
        <v>72</v>
      </c>
      <c r="F35" s="68">
        <v>86.9</v>
      </c>
      <c r="G35" s="58">
        <f>F35/E35*100-100</f>
        <v>20.694444444444457</v>
      </c>
      <c r="H35" s="58">
        <f>F35/D35*100</f>
        <v>88.22335025380711</v>
      </c>
      <c r="I35" s="73"/>
      <c r="J35" s="73"/>
      <c r="K35" s="73"/>
      <c r="L35" s="75"/>
      <c r="M35" s="75">
        <v>72</v>
      </c>
      <c r="N35" s="79">
        <v>72</v>
      </c>
      <c r="O35" s="79">
        <v>80</v>
      </c>
      <c r="P35" s="79">
        <v>72</v>
      </c>
      <c r="Q35" s="79">
        <v>80</v>
      </c>
      <c r="R35" s="79">
        <v>72</v>
      </c>
      <c r="S35" s="79">
        <v>80</v>
      </c>
    </row>
    <row r="36" spans="1:19" ht="21" customHeight="1">
      <c r="A36" s="8" t="s">
        <v>30</v>
      </c>
      <c r="B36" s="9" t="s">
        <v>90</v>
      </c>
      <c r="C36" s="46" t="s">
        <v>12</v>
      </c>
      <c r="D36" s="51">
        <v>32</v>
      </c>
      <c r="E36" s="11">
        <v>29.55</v>
      </c>
      <c r="F36" s="51">
        <v>20</v>
      </c>
      <c r="G36" s="58">
        <f t="shared" si="2"/>
        <v>-32.31810490693739</v>
      </c>
      <c r="H36" s="58">
        <f t="shared" si="0"/>
        <v>62.5</v>
      </c>
      <c r="I36" s="11"/>
      <c r="J36" s="11"/>
      <c r="K36" s="11"/>
      <c r="L36" s="16"/>
      <c r="M36" s="67">
        <f>F36*M37/100</f>
        <v>13</v>
      </c>
      <c r="N36" s="80">
        <f>M36*N37/100</f>
        <v>8.45</v>
      </c>
      <c r="O36" s="80">
        <f>M36*O37/100</f>
        <v>9.1</v>
      </c>
      <c r="P36" s="80">
        <f>N36*P37/100</f>
        <v>5.4925</v>
      </c>
      <c r="Q36" s="80">
        <f>O36*Q37/100</f>
        <v>6.37</v>
      </c>
      <c r="R36" s="80">
        <f>P36*R37/100</f>
        <v>3.570125</v>
      </c>
      <c r="S36" s="80">
        <f>Q36*S37/100</f>
        <v>4.4590000000000005</v>
      </c>
    </row>
    <row r="37" spans="1:19" ht="30" customHeight="1">
      <c r="A37" s="8" t="s">
        <v>31</v>
      </c>
      <c r="B37" s="9" t="s">
        <v>97</v>
      </c>
      <c r="C37" s="46" t="s">
        <v>12</v>
      </c>
      <c r="D37" s="68">
        <v>57.4</v>
      </c>
      <c r="E37" s="73">
        <v>75</v>
      </c>
      <c r="F37" s="68">
        <v>58.2</v>
      </c>
      <c r="G37" s="58">
        <f>F37/E37*100-100</f>
        <v>-22.39999999999999</v>
      </c>
      <c r="H37" s="58">
        <f>F37/D37*100</f>
        <v>101.39372822299653</v>
      </c>
      <c r="I37" s="73"/>
      <c r="J37" s="73"/>
      <c r="K37" s="73"/>
      <c r="L37" s="75"/>
      <c r="M37" s="75">
        <v>65</v>
      </c>
      <c r="N37" s="79">
        <v>65</v>
      </c>
      <c r="O37" s="79">
        <v>70</v>
      </c>
      <c r="P37" s="79">
        <v>65</v>
      </c>
      <c r="Q37" s="79">
        <v>70</v>
      </c>
      <c r="R37" s="79">
        <v>65</v>
      </c>
      <c r="S37" s="79">
        <v>70</v>
      </c>
    </row>
    <row r="38" spans="1:19" s="7" customFormat="1" ht="33" customHeight="1">
      <c r="A38" s="108" t="s">
        <v>32</v>
      </c>
      <c r="B38" s="108"/>
      <c r="C38" s="108"/>
      <c r="D38" s="93"/>
      <c r="E38" s="94"/>
      <c r="F38" s="95"/>
      <c r="G38" s="103"/>
      <c r="H38" s="103"/>
      <c r="I38" s="15"/>
      <c r="J38" s="15"/>
      <c r="K38" s="15"/>
      <c r="L38" s="6"/>
      <c r="M38" s="6"/>
      <c r="N38" s="52"/>
      <c r="O38" s="52"/>
      <c r="P38" s="52"/>
      <c r="Q38" s="52"/>
      <c r="R38" s="52"/>
      <c r="S38" s="52"/>
    </row>
    <row r="39" spans="1:19" ht="15.75">
      <c r="A39" s="8" t="s">
        <v>33</v>
      </c>
      <c r="B39" s="9" t="s">
        <v>110</v>
      </c>
      <c r="C39" s="46" t="s">
        <v>12</v>
      </c>
      <c r="D39" s="66" t="s">
        <v>136</v>
      </c>
      <c r="E39" s="66" t="s">
        <v>136</v>
      </c>
      <c r="F39" s="66" t="s">
        <v>136</v>
      </c>
      <c r="G39" s="68" t="s">
        <v>136</v>
      </c>
      <c r="H39" s="68" t="s">
        <v>136</v>
      </c>
      <c r="I39" s="51" t="s">
        <v>136</v>
      </c>
      <c r="J39" s="51" t="s">
        <v>136</v>
      </c>
      <c r="K39" s="51" t="s">
        <v>136</v>
      </c>
      <c r="L39" s="51" t="s">
        <v>136</v>
      </c>
      <c r="M39" s="66" t="s">
        <v>136</v>
      </c>
      <c r="N39" s="66" t="s">
        <v>136</v>
      </c>
      <c r="O39" s="66" t="s">
        <v>136</v>
      </c>
      <c r="P39" s="66" t="s">
        <v>136</v>
      </c>
      <c r="Q39" s="66" t="s">
        <v>136</v>
      </c>
      <c r="R39" s="66" t="s">
        <v>136</v>
      </c>
      <c r="S39" s="66" t="s">
        <v>136</v>
      </c>
    </row>
    <row r="40" spans="1:19" ht="15.75">
      <c r="A40" s="8" t="s">
        <v>34</v>
      </c>
      <c r="B40" s="9" t="s">
        <v>110</v>
      </c>
      <c r="C40" s="46" t="s">
        <v>6</v>
      </c>
      <c r="D40" s="66">
        <v>2.8331</v>
      </c>
      <c r="E40" s="65">
        <v>1.983</v>
      </c>
      <c r="F40" s="66">
        <v>3.33</v>
      </c>
      <c r="G40" s="69">
        <f>(F40/E40-1)*100</f>
        <v>67.92738275340393</v>
      </c>
      <c r="H40" s="69">
        <f>F40/D40*100</f>
        <v>117.53909145459038</v>
      </c>
      <c r="I40" s="11"/>
      <c r="J40" s="11"/>
      <c r="K40" s="11"/>
      <c r="L40" s="16"/>
      <c r="M40" s="67">
        <f>F40*0.9</f>
        <v>2.9970000000000003</v>
      </c>
      <c r="N40" s="80">
        <f>M40*0.9</f>
        <v>2.6973000000000003</v>
      </c>
      <c r="O40" s="80">
        <f>M40*0.85</f>
        <v>2.5474500000000004</v>
      </c>
      <c r="P40" s="80">
        <f>N40*0.9</f>
        <v>2.4275700000000002</v>
      </c>
      <c r="Q40" s="80">
        <f>O40*0.85</f>
        <v>2.1653325000000003</v>
      </c>
      <c r="R40" s="80">
        <f>P40*0.9</f>
        <v>2.184813</v>
      </c>
      <c r="S40" s="80">
        <f>Q40*0.85</f>
        <v>1.8405326250000003</v>
      </c>
    </row>
    <row r="41" spans="1:19" ht="15.75">
      <c r="A41" s="8" t="s">
        <v>115</v>
      </c>
      <c r="B41" s="9" t="s">
        <v>110</v>
      </c>
      <c r="C41" s="46" t="s">
        <v>6</v>
      </c>
      <c r="D41" s="66">
        <v>3.3101</v>
      </c>
      <c r="E41" s="65">
        <v>2.317</v>
      </c>
      <c r="F41" s="66">
        <v>1.6</v>
      </c>
      <c r="G41" s="69">
        <f>(F41/E41-1)*100</f>
        <v>-30.94518774277083</v>
      </c>
      <c r="H41" s="69">
        <f>F41/D41*100</f>
        <v>48.336908250506035</v>
      </c>
      <c r="I41" s="11"/>
      <c r="J41" s="11"/>
      <c r="K41" s="11"/>
      <c r="L41" s="16"/>
      <c r="M41" s="67">
        <f>F41*0.9</f>
        <v>1.4400000000000002</v>
      </c>
      <c r="N41" s="80">
        <f>M41*0.9</f>
        <v>1.2960000000000003</v>
      </c>
      <c r="O41" s="80">
        <f>M41*0.85</f>
        <v>1.2240000000000002</v>
      </c>
      <c r="P41" s="80">
        <f>N41*0.9</f>
        <v>1.1664000000000003</v>
      </c>
      <c r="Q41" s="80">
        <f>O41*0.85</f>
        <v>1.0404000000000002</v>
      </c>
      <c r="R41" s="80">
        <f>P41*0.9</f>
        <v>1.0497600000000002</v>
      </c>
      <c r="S41" s="80">
        <f>Q41*0.85</f>
        <v>0.8843400000000001</v>
      </c>
    </row>
    <row r="42" spans="1:19" ht="17.25" customHeight="1">
      <c r="A42" s="8" t="s">
        <v>35</v>
      </c>
      <c r="B42" s="9" t="s">
        <v>124</v>
      </c>
      <c r="C42" s="46" t="s">
        <v>6</v>
      </c>
      <c r="D42" s="68">
        <v>0.2</v>
      </c>
      <c r="E42" s="68">
        <v>0</v>
      </c>
      <c r="F42" s="68">
        <v>0.1</v>
      </c>
      <c r="G42" s="69">
        <v>0.1</v>
      </c>
      <c r="H42" s="69">
        <f>F42/D42*100</f>
        <v>50</v>
      </c>
      <c r="I42" s="71">
        <v>0</v>
      </c>
      <c r="J42" s="71">
        <v>0</v>
      </c>
      <c r="K42" s="71">
        <v>0</v>
      </c>
      <c r="L42" s="71">
        <v>0</v>
      </c>
      <c r="M42" s="67">
        <f>F42*0.7</f>
        <v>0.06999999999999999</v>
      </c>
      <c r="N42" s="80">
        <f>M42*0.85</f>
        <v>0.05949999999999999</v>
      </c>
      <c r="O42" s="80">
        <f>M42*0.8</f>
        <v>0.055999999999999994</v>
      </c>
      <c r="P42" s="80">
        <f>N42*0.85</f>
        <v>0.05057499999999999</v>
      </c>
      <c r="Q42" s="80">
        <f>O42*0.8</f>
        <v>0.0448</v>
      </c>
      <c r="R42" s="80">
        <f>P42*0.85</f>
        <v>0.042988749999999985</v>
      </c>
      <c r="S42" s="80">
        <f>Q42*0.8</f>
        <v>0.035840000000000004</v>
      </c>
    </row>
    <row r="43" spans="1:19" ht="15.75">
      <c r="A43" s="8" t="s">
        <v>36</v>
      </c>
      <c r="B43" s="9" t="s">
        <v>18</v>
      </c>
      <c r="C43" s="46" t="s">
        <v>6</v>
      </c>
      <c r="D43" s="66">
        <v>0</v>
      </c>
      <c r="E43" s="65">
        <v>0</v>
      </c>
      <c r="F43" s="66">
        <v>0</v>
      </c>
      <c r="G43" s="69">
        <v>0</v>
      </c>
      <c r="H43" s="69">
        <v>0</v>
      </c>
      <c r="I43" s="51" t="s">
        <v>136</v>
      </c>
      <c r="J43" s="51" t="s">
        <v>136</v>
      </c>
      <c r="K43" s="51" t="s">
        <v>136</v>
      </c>
      <c r="L43" s="51" t="s">
        <v>136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</row>
    <row r="44" spans="1:19" ht="15.75">
      <c r="A44" s="8" t="s">
        <v>37</v>
      </c>
      <c r="B44" s="9" t="s">
        <v>18</v>
      </c>
      <c r="C44" s="46" t="s">
        <v>6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51" t="s">
        <v>136</v>
      </c>
      <c r="J44" s="51" t="s">
        <v>136</v>
      </c>
      <c r="K44" s="51" t="s">
        <v>136</v>
      </c>
      <c r="L44" s="51" t="s">
        <v>136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</row>
    <row r="45" spans="1:19" ht="15.75">
      <c r="A45" s="8" t="s">
        <v>38</v>
      </c>
      <c r="B45" s="9" t="s">
        <v>18</v>
      </c>
      <c r="C45" s="46" t="s">
        <v>6</v>
      </c>
      <c r="D45" s="66">
        <v>12.8</v>
      </c>
      <c r="E45" s="65">
        <v>13.056</v>
      </c>
      <c r="F45" s="66">
        <v>12.7</v>
      </c>
      <c r="G45" s="69">
        <f>(F45/E45-1)*100</f>
        <v>-2.7267156862745057</v>
      </c>
      <c r="H45" s="69">
        <f aca="true" t="shared" si="3" ref="H45:H83">F45/D45*100</f>
        <v>99.21874999999999</v>
      </c>
      <c r="I45" s="11"/>
      <c r="J45" s="11"/>
      <c r="K45" s="11"/>
      <c r="L45" s="16"/>
      <c r="M45" s="67">
        <f>F45*1.02</f>
        <v>12.953999999999999</v>
      </c>
      <c r="N45" s="80">
        <f>M45*1.02</f>
        <v>13.21308</v>
      </c>
      <c r="O45" s="80">
        <f>M45*1.05</f>
        <v>13.6017</v>
      </c>
      <c r="P45" s="80">
        <f>N45*1.02</f>
        <v>13.4773416</v>
      </c>
      <c r="Q45" s="80">
        <f>O45*1.05</f>
        <v>14.281785</v>
      </c>
      <c r="R45" s="80">
        <f>P45*1.02</f>
        <v>13.746888432</v>
      </c>
      <c r="S45" s="80">
        <f>Q45*1.05</f>
        <v>14.99587425</v>
      </c>
    </row>
    <row r="46" spans="1:19" ht="17.25" customHeight="1">
      <c r="A46" s="8" t="s">
        <v>39</v>
      </c>
      <c r="B46" s="9" t="s">
        <v>111</v>
      </c>
      <c r="C46" s="46" t="s">
        <v>12</v>
      </c>
      <c r="D46" s="66">
        <v>131.6</v>
      </c>
      <c r="E46" s="65">
        <v>92.12</v>
      </c>
      <c r="F46" s="66">
        <v>82.2</v>
      </c>
      <c r="G46" s="69">
        <f>(F46/E46-1)*100</f>
        <v>-10.768562744246635</v>
      </c>
      <c r="H46" s="69">
        <f t="shared" si="3"/>
        <v>62.46200607902737</v>
      </c>
      <c r="I46" s="11"/>
      <c r="J46" s="11"/>
      <c r="K46" s="11"/>
      <c r="L46" s="16"/>
      <c r="M46" s="67">
        <f>F46*0.8</f>
        <v>65.76</v>
      </c>
      <c r="N46" s="80">
        <f>M46*0.8</f>
        <v>52.608000000000004</v>
      </c>
      <c r="O46" s="80">
        <f>M46*0.75</f>
        <v>49.32000000000001</v>
      </c>
      <c r="P46" s="80">
        <f>N46*0.8</f>
        <v>42.086400000000005</v>
      </c>
      <c r="Q46" s="80">
        <f>O46*0.75</f>
        <v>36.99000000000001</v>
      </c>
      <c r="R46" s="80">
        <f>P46*0.8</f>
        <v>33.66912000000001</v>
      </c>
      <c r="S46" s="80">
        <f>Q46*0.75</f>
        <v>27.742500000000007</v>
      </c>
    </row>
    <row r="47" spans="1:19" ht="15.75" customHeight="1">
      <c r="A47" s="8" t="s">
        <v>40</v>
      </c>
      <c r="B47" s="9" t="s">
        <v>18</v>
      </c>
      <c r="C47" s="46" t="s">
        <v>12</v>
      </c>
      <c r="D47" s="66">
        <v>102.5</v>
      </c>
      <c r="E47" s="65">
        <v>71.75</v>
      </c>
      <c r="F47" s="66">
        <v>45.2</v>
      </c>
      <c r="G47" s="69">
        <f>(F47/E47-1)*100</f>
        <v>-37.00348432055749</v>
      </c>
      <c r="H47" s="69">
        <f t="shared" si="3"/>
        <v>44.09756097560976</v>
      </c>
      <c r="I47" s="11"/>
      <c r="J47" s="11"/>
      <c r="K47" s="11"/>
      <c r="L47" s="16"/>
      <c r="M47" s="67">
        <f>F47*0.7</f>
        <v>31.64</v>
      </c>
      <c r="N47" s="80">
        <f>M47*0.85</f>
        <v>26.894</v>
      </c>
      <c r="O47" s="80">
        <f>M47*0.8</f>
        <v>25.312</v>
      </c>
      <c r="P47" s="80">
        <f>N47*0.85</f>
        <v>22.8599</v>
      </c>
      <c r="Q47" s="80">
        <f>O47*0.8</f>
        <v>20.2496</v>
      </c>
      <c r="R47" s="80">
        <f>P47*0.85</f>
        <v>19.430915</v>
      </c>
      <c r="S47" s="80">
        <f>Q47*0.8</f>
        <v>16.19968</v>
      </c>
    </row>
    <row r="48" spans="1:19" ht="19.5" customHeight="1">
      <c r="A48" s="8" t="s">
        <v>41</v>
      </c>
      <c r="B48" s="9" t="s">
        <v>18</v>
      </c>
      <c r="C48" s="46" t="s">
        <v>12</v>
      </c>
      <c r="D48" s="66">
        <v>624.9</v>
      </c>
      <c r="E48" s="65">
        <v>437.43</v>
      </c>
      <c r="F48" s="66">
        <v>222.1</v>
      </c>
      <c r="G48" s="69">
        <f>(F48/E48-1)*100</f>
        <v>-49.226161900189744</v>
      </c>
      <c r="H48" s="69">
        <f t="shared" si="3"/>
        <v>35.541686669867175</v>
      </c>
      <c r="I48" s="11"/>
      <c r="J48" s="11"/>
      <c r="K48" s="11"/>
      <c r="L48" s="16"/>
      <c r="M48" s="67">
        <f>F48*0.7</f>
        <v>155.47</v>
      </c>
      <c r="N48" s="80">
        <f>M48*0.85</f>
        <v>132.1495</v>
      </c>
      <c r="O48" s="80">
        <f>M48*0.8</f>
        <v>124.376</v>
      </c>
      <c r="P48" s="80">
        <f>N48*0.85</f>
        <v>112.327075</v>
      </c>
      <c r="Q48" s="80">
        <f>O48*0.8</f>
        <v>99.50080000000001</v>
      </c>
      <c r="R48" s="80">
        <f>P48*0.85</f>
        <v>95.47801374999999</v>
      </c>
      <c r="S48" s="80">
        <f>Q48*0.8</f>
        <v>79.60064000000001</v>
      </c>
    </row>
    <row r="49" spans="1:19" s="7" customFormat="1" ht="19.5" customHeight="1">
      <c r="A49" s="108" t="s">
        <v>42</v>
      </c>
      <c r="B49" s="108"/>
      <c r="C49" s="108"/>
      <c r="D49" s="93"/>
      <c r="E49" s="94"/>
      <c r="F49" s="95"/>
      <c r="G49" s="103"/>
      <c r="H49" s="103"/>
      <c r="I49" s="15"/>
      <c r="J49" s="15"/>
      <c r="K49" s="15"/>
      <c r="L49" s="6"/>
      <c r="M49" s="6"/>
      <c r="N49" s="52"/>
      <c r="O49" s="52"/>
      <c r="P49" s="52"/>
      <c r="Q49" s="52"/>
      <c r="R49" s="52"/>
      <c r="S49" s="52"/>
    </row>
    <row r="50" spans="1:19" s="30" customFormat="1" ht="16.5" customHeight="1">
      <c r="A50" s="39" t="s">
        <v>43</v>
      </c>
      <c r="B50" s="40" t="s">
        <v>44</v>
      </c>
      <c r="C50" s="56" t="s">
        <v>12</v>
      </c>
      <c r="D50" s="71">
        <v>211</v>
      </c>
      <c r="E50" s="70">
        <v>190</v>
      </c>
      <c r="F50" s="71">
        <v>133</v>
      </c>
      <c r="G50" s="58">
        <f aca="true" t="shared" si="4" ref="G50:G58">(F50/E50-1)*100</f>
        <v>-30.000000000000004</v>
      </c>
      <c r="H50" s="69">
        <f t="shared" si="3"/>
        <v>63.03317535545023</v>
      </c>
      <c r="I50" s="11"/>
      <c r="J50" s="11"/>
      <c r="K50" s="11"/>
      <c r="L50" s="16"/>
      <c r="M50" s="81">
        <f>F50*0.9</f>
        <v>119.7</v>
      </c>
      <c r="N50" s="82">
        <f>M50*0.85</f>
        <v>101.745</v>
      </c>
      <c r="O50" s="82">
        <f>M50*0.8</f>
        <v>95.76</v>
      </c>
      <c r="P50" s="82">
        <f>N50*0.85</f>
        <v>86.48325</v>
      </c>
      <c r="Q50" s="82">
        <f>O50*0.8</f>
        <v>76.608</v>
      </c>
      <c r="R50" s="82">
        <f>P50*0.85</f>
        <v>73.5107625</v>
      </c>
      <c r="S50" s="82">
        <f>Q50*0.8</f>
        <v>61.28640000000001</v>
      </c>
    </row>
    <row r="51" spans="1:19" s="30" customFormat="1" ht="17.25" customHeight="1">
      <c r="A51" s="39" t="s">
        <v>45</v>
      </c>
      <c r="B51" s="40" t="s">
        <v>44</v>
      </c>
      <c r="C51" s="56" t="s">
        <v>12</v>
      </c>
      <c r="D51" s="71">
        <v>83</v>
      </c>
      <c r="E51" s="70">
        <v>75</v>
      </c>
      <c r="F51" s="71">
        <v>82</v>
      </c>
      <c r="G51" s="58">
        <f t="shared" si="4"/>
        <v>9.333333333333327</v>
      </c>
      <c r="H51" s="69">
        <f t="shared" si="3"/>
        <v>98.79518072289156</v>
      </c>
      <c r="I51" s="11"/>
      <c r="J51" s="11"/>
      <c r="K51" s="11"/>
      <c r="L51" s="16"/>
      <c r="M51" s="81">
        <f aca="true" t="shared" si="5" ref="M51:M57">F51*0.9</f>
        <v>73.8</v>
      </c>
      <c r="N51" s="82">
        <f aca="true" t="shared" si="6" ref="N51:N57">M51*0.85</f>
        <v>62.73</v>
      </c>
      <c r="O51" s="82">
        <f aca="true" t="shared" si="7" ref="O51:O57">M51*0.8</f>
        <v>59.04</v>
      </c>
      <c r="P51" s="82">
        <f>N51*0.85</f>
        <v>53.320499999999996</v>
      </c>
      <c r="Q51" s="82">
        <f>O51*0.8</f>
        <v>47.232</v>
      </c>
      <c r="R51" s="82">
        <f>P51*0.85</f>
        <v>45.322424999999996</v>
      </c>
      <c r="S51" s="82">
        <f>Q51*0.8</f>
        <v>37.7856</v>
      </c>
    </row>
    <row r="52" spans="1:19" s="30" customFormat="1" ht="17.25" customHeight="1">
      <c r="A52" s="39" t="s">
        <v>46</v>
      </c>
      <c r="B52" s="40" t="s">
        <v>44</v>
      </c>
      <c r="C52" s="56" t="s">
        <v>12</v>
      </c>
      <c r="D52" s="71">
        <v>100</v>
      </c>
      <c r="E52" s="70">
        <v>90</v>
      </c>
      <c r="F52" s="71">
        <v>100</v>
      </c>
      <c r="G52" s="58">
        <f t="shared" si="4"/>
        <v>11.111111111111116</v>
      </c>
      <c r="H52" s="69">
        <f t="shared" si="3"/>
        <v>100</v>
      </c>
      <c r="I52" s="11"/>
      <c r="J52" s="11"/>
      <c r="K52" s="11"/>
      <c r="L52" s="16"/>
      <c r="M52" s="81">
        <f t="shared" si="5"/>
        <v>90</v>
      </c>
      <c r="N52" s="82">
        <f t="shared" si="6"/>
        <v>76.5</v>
      </c>
      <c r="O52" s="82">
        <f t="shared" si="7"/>
        <v>72</v>
      </c>
      <c r="P52" s="82">
        <f>N52*0.85</f>
        <v>65.02499999999999</v>
      </c>
      <c r="Q52" s="82">
        <f>O52*0.8</f>
        <v>57.6</v>
      </c>
      <c r="R52" s="82">
        <f>P52*0.85</f>
        <v>55.27124999999999</v>
      </c>
      <c r="S52" s="82">
        <f>Q52*0.8</f>
        <v>46.080000000000005</v>
      </c>
    </row>
    <row r="53" spans="1:19" s="30" customFormat="1" ht="17.25" customHeight="1">
      <c r="A53" s="39" t="s">
        <v>47</v>
      </c>
      <c r="B53" s="40" t="s">
        <v>44</v>
      </c>
      <c r="C53" s="56" t="s">
        <v>12</v>
      </c>
      <c r="D53" s="71">
        <v>22</v>
      </c>
      <c r="E53" s="70">
        <v>20</v>
      </c>
      <c r="F53" s="71">
        <v>22</v>
      </c>
      <c r="G53" s="58">
        <f t="shared" si="4"/>
        <v>10.000000000000009</v>
      </c>
      <c r="H53" s="69">
        <f t="shared" si="3"/>
        <v>100</v>
      </c>
      <c r="I53" s="11"/>
      <c r="J53" s="11"/>
      <c r="K53" s="11"/>
      <c r="L53" s="16"/>
      <c r="M53" s="81">
        <f t="shared" si="5"/>
        <v>19.8</v>
      </c>
      <c r="N53" s="82">
        <f t="shared" si="6"/>
        <v>16.830000000000002</v>
      </c>
      <c r="O53" s="82">
        <f t="shared" si="7"/>
        <v>15.840000000000002</v>
      </c>
      <c r="P53" s="82">
        <f>N53*0.85</f>
        <v>14.3055</v>
      </c>
      <c r="Q53" s="82">
        <f>O53*0.8</f>
        <v>12.672000000000002</v>
      </c>
      <c r="R53" s="82">
        <f>P53*0.85</f>
        <v>12.159675</v>
      </c>
      <c r="S53" s="82">
        <f>Q53*0.8</f>
        <v>10.137600000000003</v>
      </c>
    </row>
    <row r="54" spans="1:19" s="30" customFormat="1" ht="17.25" customHeight="1">
      <c r="A54" s="39" t="s">
        <v>48</v>
      </c>
      <c r="B54" s="40" t="s">
        <v>44</v>
      </c>
      <c r="C54" s="56" t="s">
        <v>12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</row>
    <row r="55" spans="1:19" s="30" customFormat="1" ht="17.25" customHeight="1">
      <c r="A55" s="39" t="s">
        <v>49</v>
      </c>
      <c r="B55" s="40" t="s">
        <v>44</v>
      </c>
      <c r="C55" s="56" t="s">
        <v>12</v>
      </c>
      <c r="D55" s="71">
        <v>20</v>
      </c>
      <c r="E55" s="70">
        <v>18</v>
      </c>
      <c r="F55" s="71">
        <v>15</v>
      </c>
      <c r="G55" s="58">
        <f t="shared" si="4"/>
        <v>-16.666666666666664</v>
      </c>
      <c r="H55" s="69">
        <f t="shared" si="3"/>
        <v>75</v>
      </c>
      <c r="I55" s="11"/>
      <c r="J55" s="11"/>
      <c r="K55" s="11"/>
      <c r="L55" s="16"/>
      <c r="M55" s="81">
        <f t="shared" si="5"/>
        <v>13.5</v>
      </c>
      <c r="N55" s="82">
        <f t="shared" si="6"/>
        <v>11.475</v>
      </c>
      <c r="O55" s="82">
        <f t="shared" si="7"/>
        <v>10.8</v>
      </c>
      <c r="P55" s="82">
        <f>N55*0.85</f>
        <v>9.75375</v>
      </c>
      <c r="Q55" s="82">
        <f>O55*0.8</f>
        <v>8.64</v>
      </c>
      <c r="R55" s="82">
        <f>P55*0.85</f>
        <v>8.2906875</v>
      </c>
      <c r="S55" s="82">
        <f>Q55*0.8</f>
        <v>6.912000000000001</v>
      </c>
    </row>
    <row r="56" spans="1:19" s="30" customFormat="1" ht="17.25" customHeight="1">
      <c r="A56" s="39" t="s">
        <v>50</v>
      </c>
      <c r="B56" s="40" t="s">
        <v>44</v>
      </c>
      <c r="C56" s="56" t="s">
        <v>12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</row>
    <row r="57" spans="1:19" s="30" customFormat="1" ht="17.25" customHeight="1">
      <c r="A57" s="39" t="s">
        <v>51</v>
      </c>
      <c r="B57" s="40" t="s">
        <v>44</v>
      </c>
      <c r="C57" s="56" t="s">
        <v>12</v>
      </c>
      <c r="D57" s="71">
        <v>648</v>
      </c>
      <c r="E57" s="70">
        <v>583</v>
      </c>
      <c r="F57" s="71">
        <v>648</v>
      </c>
      <c r="G57" s="58">
        <f t="shared" si="4"/>
        <v>11.14922813036021</v>
      </c>
      <c r="H57" s="69">
        <f t="shared" si="3"/>
        <v>100</v>
      </c>
      <c r="I57" s="11"/>
      <c r="J57" s="11"/>
      <c r="K57" s="11"/>
      <c r="L57" s="16"/>
      <c r="M57" s="81">
        <f t="shared" si="5"/>
        <v>583.2</v>
      </c>
      <c r="N57" s="82">
        <f t="shared" si="6"/>
        <v>495.72</v>
      </c>
      <c r="O57" s="82">
        <f t="shared" si="7"/>
        <v>466.56000000000006</v>
      </c>
      <c r="P57" s="82">
        <f>N57*0.85</f>
        <v>421.362</v>
      </c>
      <c r="Q57" s="82">
        <f>O57*0.8</f>
        <v>373.24800000000005</v>
      </c>
      <c r="R57" s="82">
        <f>P57*0.85</f>
        <v>358.15770000000003</v>
      </c>
      <c r="S57" s="82">
        <f>Q57*0.8</f>
        <v>298.5984</v>
      </c>
    </row>
    <row r="58" spans="1:19" s="30" customFormat="1" ht="17.25" customHeight="1">
      <c r="A58" s="39" t="s">
        <v>52</v>
      </c>
      <c r="B58" s="40" t="s">
        <v>53</v>
      </c>
      <c r="C58" s="56" t="s">
        <v>12</v>
      </c>
      <c r="D58" s="71">
        <v>350</v>
      </c>
      <c r="E58" s="70">
        <v>357</v>
      </c>
      <c r="F58" s="71">
        <v>350</v>
      </c>
      <c r="G58" s="58">
        <f t="shared" si="4"/>
        <v>-1.9607843137254943</v>
      </c>
      <c r="H58" s="69">
        <f t="shared" si="3"/>
        <v>100</v>
      </c>
      <c r="I58" s="11"/>
      <c r="J58" s="11"/>
      <c r="K58" s="11"/>
      <c r="L58" s="16"/>
      <c r="M58" s="81">
        <f>F58*1.02</f>
        <v>357</v>
      </c>
      <c r="N58" s="82">
        <f>M58*1.02</f>
        <v>364.14</v>
      </c>
      <c r="O58" s="82">
        <f>M58*1.05</f>
        <v>374.85</v>
      </c>
      <c r="P58" s="82">
        <f>N58*1.02</f>
        <v>371.4228</v>
      </c>
      <c r="Q58" s="82">
        <f>O58*1.05</f>
        <v>393.59250000000003</v>
      </c>
      <c r="R58" s="82">
        <f>P58*1.02</f>
        <v>378.851256</v>
      </c>
      <c r="S58" s="82">
        <f>Q58*1.05</f>
        <v>413.2721250000001</v>
      </c>
    </row>
    <row r="59" spans="1:19" s="7" customFormat="1" ht="15.75">
      <c r="A59" s="3" t="s">
        <v>133</v>
      </c>
      <c r="B59" s="4"/>
      <c r="C59" s="14"/>
      <c r="D59" s="91"/>
      <c r="E59" s="91"/>
      <c r="F59" s="91"/>
      <c r="G59" s="5"/>
      <c r="H59" s="5"/>
      <c r="I59" s="15"/>
      <c r="J59" s="15"/>
      <c r="K59" s="15"/>
      <c r="L59" s="6"/>
      <c r="M59" s="6"/>
      <c r="N59" s="52"/>
      <c r="O59" s="52"/>
      <c r="P59" s="52"/>
      <c r="Q59" s="52"/>
      <c r="R59" s="52"/>
      <c r="S59" s="52"/>
    </row>
    <row r="60" spans="1:19" ht="18" customHeight="1">
      <c r="A60" s="8" t="s">
        <v>54</v>
      </c>
      <c r="B60" s="9" t="s">
        <v>90</v>
      </c>
      <c r="C60" s="46" t="s">
        <v>12</v>
      </c>
      <c r="D60" s="89">
        <v>9246.2298</v>
      </c>
      <c r="E60" s="72">
        <v>10605.1</v>
      </c>
      <c r="F60" s="89">
        <v>10386.65</v>
      </c>
      <c r="G60" s="58">
        <f>(F60/E60-1)*100</f>
        <v>-2.0598579928524985</v>
      </c>
      <c r="H60" s="69">
        <f t="shared" si="3"/>
        <v>112.33389418895905</v>
      </c>
      <c r="I60" s="11"/>
      <c r="J60" s="11"/>
      <c r="K60" s="11"/>
      <c r="L60" s="16"/>
      <c r="M60" s="75">
        <f>F60*1.062*M61/100</f>
        <v>11913.072084000001</v>
      </c>
      <c r="N60" s="79">
        <f>M60*N61*1.052/100</f>
        <v>13785.807015604803</v>
      </c>
      <c r="O60" s="79">
        <f>M60*O61*1.052/100</f>
        <v>14036.458052252163</v>
      </c>
      <c r="P60" s="79">
        <f>N60*P61*1.049/100</f>
        <v>15907.442715306383</v>
      </c>
      <c r="Q60" s="79">
        <f>O60*Q61*1.042/100</f>
        <v>16381.108005300364</v>
      </c>
      <c r="R60" s="79">
        <f>P60*R61*1.038/100</f>
        <v>18163.11809233683</v>
      </c>
      <c r="S60" s="79">
        <f>Q60*S61*1.038/100</f>
        <v>19044.02092264199</v>
      </c>
    </row>
    <row r="61" spans="1:19" ht="33" customHeight="1">
      <c r="A61" s="8" t="s">
        <v>55</v>
      </c>
      <c r="B61" s="9" t="s">
        <v>97</v>
      </c>
      <c r="C61" s="46" t="s">
        <v>12</v>
      </c>
      <c r="D61" s="51">
        <v>103.8</v>
      </c>
      <c r="E61" s="11">
        <v>108</v>
      </c>
      <c r="F61" s="51">
        <v>105.5</v>
      </c>
      <c r="G61" s="58">
        <f>(F61/E61-1)*100</f>
        <v>-2.314814814814814</v>
      </c>
      <c r="H61" s="69">
        <f t="shared" si="3"/>
        <v>101.63776493256262</v>
      </c>
      <c r="I61" s="11"/>
      <c r="J61" s="11"/>
      <c r="K61" s="11"/>
      <c r="L61" s="16"/>
      <c r="M61" s="23">
        <v>108</v>
      </c>
      <c r="N61" s="23">
        <v>110</v>
      </c>
      <c r="O61" s="23">
        <v>112</v>
      </c>
      <c r="P61" s="23">
        <v>110</v>
      </c>
      <c r="Q61" s="23">
        <v>112</v>
      </c>
      <c r="R61" s="23">
        <v>110</v>
      </c>
      <c r="S61" s="23">
        <v>112</v>
      </c>
    </row>
    <row r="62" spans="1:19" s="7" customFormat="1" ht="15.75">
      <c r="A62" s="107" t="s">
        <v>132</v>
      </c>
      <c r="B62" s="107"/>
      <c r="C62" s="107"/>
      <c r="D62" s="92"/>
      <c r="E62" s="92"/>
      <c r="F62" s="92"/>
      <c r="G62" s="99"/>
      <c r="H62" s="99"/>
      <c r="I62" s="15"/>
      <c r="J62" s="15"/>
      <c r="K62" s="15"/>
      <c r="L62" s="6"/>
      <c r="M62" s="6"/>
      <c r="N62" s="52"/>
      <c r="O62" s="52"/>
      <c r="P62" s="52"/>
      <c r="Q62" s="52"/>
      <c r="R62" s="52"/>
      <c r="S62" s="52"/>
    </row>
    <row r="63" spans="1:19" s="22" customFormat="1" ht="49.5" customHeight="1">
      <c r="A63" s="39" t="s">
        <v>116</v>
      </c>
      <c r="B63" s="40" t="s">
        <v>56</v>
      </c>
      <c r="C63" s="56" t="s">
        <v>12</v>
      </c>
      <c r="D63" s="56">
        <v>1114</v>
      </c>
      <c r="E63" s="21">
        <v>1058</v>
      </c>
      <c r="F63" s="56">
        <v>1455</v>
      </c>
      <c r="G63" s="58">
        <f>(F63/E63-1)*100</f>
        <v>37.52362948960302</v>
      </c>
      <c r="H63" s="69">
        <f t="shared" si="3"/>
        <v>130.61041292639138</v>
      </c>
      <c r="I63" s="21"/>
      <c r="J63" s="21"/>
      <c r="K63" s="21"/>
      <c r="L63" s="55"/>
      <c r="M63" s="55">
        <f>F63*1.005</f>
        <v>1462.2749999999999</v>
      </c>
      <c r="N63" s="63">
        <f>M63*1.005</f>
        <v>1469.5863749999996</v>
      </c>
      <c r="O63" s="63">
        <f>M63*1.01</f>
        <v>1476.8977499999999</v>
      </c>
      <c r="P63" s="63">
        <f>N63*1.005</f>
        <v>1476.9343068749995</v>
      </c>
      <c r="Q63" s="63">
        <f>O63*1.01</f>
        <v>1491.6667275</v>
      </c>
      <c r="R63" s="63">
        <f>P63*1.01</f>
        <v>1491.7036499437495</v>
      </c>
      <c r="S63" s="63">
        <f>Q63*1.015</f>
        <v>1514.0417284124999</v>
      </c>
    </row>
    <row r="64" spans="1:19" s="22" customFormat="1" ht="64.5" customHeight="1">
      <c r="A64" s="17" t="s">
        <v>117</v>
      </c>
      <c r="B64" s="18" t="s">
        <v>57</v>
      </c>
      <c r="C64" s="78" t="s">
        <v>12</v>
      </c>
      <c r="D64" s="56">
        <v>2511</v>
      </c>
      <c r="E64" s="21">
        <v>2385</v>
      </c>
      <c r="F64" s="56">
        <v>2497</v>
      </c>
      <c r="G64" s="58">
        <f>(F64/E64-1)*100</f>
        <v>4.696016771488476</v>
      </c>
      <c r="H64" s="69">
        <f t="shared" si="3"/>
        <v>99.44245320589407</v>
      </c>
      <c r="I64" s="21"/>
      <c r="J64" s="21"/>
      <c r="K64" s="21"/>
      <c r="L64" s="55"/>
      <c r="M64" s="55">
        <f>F64*0.95</f>
        <v>2372.15</v>
      </c>
      <c r="N64" s="63">
        <f>M64*1.01</f>
        <v>2395.8715</v>
      </c>
      <c r="O64" s="63">
        <f>M64*1.015</f>
        <v>2407.73225</v>
      </c>
      <c r="P64" s="63">
        <f>N64*1.01</f>
        <v>2419.8302150000004</v>
      </c>
      <c r="Q64" s="63">
        <f>O64*1.015</f>
        <v>2443.84823375</v>
      </c>
      <c r="R64" s="63">
        <f>P64*1.005</f>
        <v>2431.929366075</v>
      </c>
      <c r="S64" s="63">
        <f>Q64*1.01</f>
        <v>2468.2867160875</v>
      </c>
    </row>
    <row r="65" spans="1:19" s="22" customFormat="1" ht="15.75" customHeight="1">
      <c r="A65" s="17" t="s">
        <v>134</v>
      </c>
      <c r="B65" s="18" t="s">
        <v>90</v>
      </c>
      <c r="C65" s="78" t="s">
        <v>12</v>
      </c>
      <c r="D65" s="51">
        <v>3763.287</v>
      </c>
      <c r="E65" s="21">
        <v>3575</v>
      </c>
      <c r="F65" s="51">
        <v>4179.5</v>
      </c>
      <c r="G65" s="58">
        <f>(F65/E65-1)*100</f>
        <v>16.909090909090917</v>
      </c>
      <c r="H65" s="69">
        <f t="shared" si="3"/>
        <v>111.05982615729282</v>
      </c>
      <c r="I65" s="11"/>
      <c r="J65" s="23"/>
      <c r="K65" s="23"/>
      <c r="L65" s="16"/>
      <c r="M65" s="55">
        <f>F65*1.05</f>
        <v>4388.475</v>
      </c>
      <c r="N65" s="21">
        <f>M65*1.05</f>
        <v>4607.89875</v>
      </c>
      <c r="O65" s="21">
        <f>M65*1.1</f>
        <v>4827.322500000001</v>
      </c>
      <c r="P65" s="21">
        <f>N65*1.05</f>
        <v>4838.2936875000005</v>
      </c>
      <c r="Q65" s="21">
        <f>O65*1.1</f>
        <v>5310.054750000002</v>
      </c>
      <c r="R65" s="21">
        <f>P65*1.05</f>
        <v>5080.208371875001</v>
      </c>
      <c r="S65" s="21">
        <f>Q65*1.1</f>
        <v>5841.060225000003</v>
      </c>
    </row>
    <row r="66" spans="1:19" s="22" customFormat="1" ht="36.75" customHeight="1">
      <c r="A66" s="39" t="s">
        <v>118</v>
      </c>
      <c r="B66" s="40" t="s">
        <v>57</v>
      </c>
      <c r="C66" s="56" t="s">
        <v>12</v>
      </c>
      <c r="D66" s="56">
        <v>2600</v>
      </c>
      <c r="E66" s="21">
        <v>2470</v>
      </c>
      <c r="F66" s="56">
        <v>2144</v>
      </c>
      <c r="G66" s="58">
        <f>(F66/E66-1)*100</f>
        <v>-13.198380566801616</v>
      </c>
      <c r="H66" s="69">
        <f t="shared" si="3"/>
        <v>82.46153846153847</v>
      </c>
      <c r="I66" s="21"/>
      <c r="J66" s="21"/>
      <c r="K66" s="21"/>
      <c r="L66" s="55"/>
      <c r="M66" s="55">
        <f>F66*0.95</f>
        <v>2036.8</v>
      </c>
      <c r="N66" s="63">
        <f>M66*1.01</f>
        <v>2057.168</v>
      </c>
      <c r="O66" s="63">
        <f>M66*1.015</f>
        <v>2067.352</v>
      </c>
      <c r="P66" s="63">
        <f>N66*1.01</f>
        <v>2077.73968</v>
      </c>
      <c r="Q66" s="63">
        <f>O66*1.015</f>
        <v>2098.36228</v>
      </c>
      <c r="R66" s="63">
        <f>P66*1.01</f>
        <v>2098.5170768000003</v>
      </c>
      <c r="S66" s="63">
        <f>Q66*1.015</f>
        <v>2129.8377141999995</v>
      </c>
    </row>
    <row r="67" spans="1:19" s="7" customFormat="1" ht="15.75">
      <c r="A67" s="3" t="s">
        <v>58</v>
      </c>
      <c r="B67" s="4"/>
      <c r="C67" s="14"/>
      <c r="D67" s="91"/>
      <c r="E67" s="91"/>
      <c r="F67" s="91"/>
      <c r="G67" s="5"/>
      <c r="H67" s="5"/>
      <c r="I67" s="15"/>
      <c r="J67" s="15"/>
      <c r="K67" s="15"/>
      <c r="L67" s="6"/>
      <c r="M67" s="6"/>
      <c r="N67" s="52"/>
      <c r="O67" s="52"/>
      <c r="P67" s="52"/>
      <c r="Q67" s="52"/>
      <c r="R67" s="52"/>
      <c r="S67" s="52"/>
    </row>
    <row r="68" spans="1:19" ht="48" customHeight="1">
      <c r="A68" s="8" t="s">
        <v>59</v>
      </c>
      <c r="B68" s="9" t="s">
        <v>90</v>
      </c>
      <c r="C68" s="10" t="s">
        <v>12</v>
      </c>
      <c r="D68" s="66">
        <v>1964</v>
      </c>
      <c r="E68" s="65">
        <v>2083.94</v>
      </c>
      <c r="F68" s="66">
        <v>2478.3</v>
      </c>
      <c r="G68" s="58">
        <f aca="true" t="shared" si="8" ref="G68:G75">(F68/E68-1)*100</f>
        <v>18.923769398351208</v>
      </c>
      <c r="H68" s="69">
        <f t="shared" si="3"/>
        <v>126.18635437881875</v>
      </c>
      <c r="I68" s="11"/>
      <c r="J68" s="11"/>
      <c r="K68" s="11"/>
      <c r="L68" s="12"/>
      <c r="M68" s="76">
        <f>F68*1.051*M69/100</f>
        <v>2643.7636995</v>
      </c>
      <c r="N68" s="77">
        <f>M68*N69*1.062/100</f>
        <v>2849.792204602035</v>
      </c>
      <c r="O68" s="77">
        <f>M68*O69*1.062/100</f>
        <v>2863.83058984638</v>
      </c>
      <c r="P68" s="77">
        <f>N68*P69*1.065/100</f>
        <v>3080.5541283696843</v>
      </c>
      <c r="Q68" s="77">
        <f>O68*Q69*1.065/100</f>
        <v>3141.4789655319864</v>
      </c>
      <c r="R68" s="77">
        <f>P68*R69*1.065/100</f>
        <v>3330.00199891442</v>
      </c>
      <c r="S68" s="77">
        <f>Q68*S69*1.065/100</f>
        <v>3446.0453512403124</v>
      </c>
    </row>
    <row r="69" spans="1:19" ht="83.25" customHeight="1">
      <c r="A69" s="8" t="s">
        <v>60</v>
      </c>
      <c r="B69" s="9" t="s">
        <v>97</v>
      </c>
      <c r="C69" s="10" t="s">
        <v>12</v>
      </c>
      <c r="D69" s="68">
        <v>87.9</v>
      </c>
      <c r="E69" s="73">
        <v>101.5</v>
      </c>
      <c r="F69" s="68">
        <v>130.6</v>
      </c>
      <c r="G69" s="58">
        <f t="shared" si="8"/>
        <v>28.66995073891625</v>
      </c>
      <c r="H69" s="69">
        <f t="shared" si="3"/>
        <v>148.57792946530145</v>
      </c>
      <c r="I69" s="11"/>
      <c r="J69" s="11"/>
      <c r="K69" s="11"/>
      <c r="L69" s="11"/>
      <c r="M69" s="11">
        <v>101.5</v>
      </c>
      <c r="N69" s="23">
        <v>101.5</v>
      </c>
      <c r="O69" s="23">
        <v>102</v>
      </c>
      <c r="P69" s="23">
        <v>101.5</v>
      </c>
      <c r="Q69" s="23">
        <v>103</v>
      </c>
      <c r="R69" s="23">
        <v>101.5</v>
      </c>
      <c r="S69" s="23">
        <v>103</v>
      </c>
    </row>
    <row r="70" spans="1:19" s="44" customFormat="1" ht="31.5" customHeight="1">
      <c r="A70" s="8" t="s">
        <v>61</v>
      </c>
      <c r="B70" s="9" t="s">
        <v>71</v>
      </c>
      <c r="C70" s="46" t="s">
        <v>12</v>
      </c>
      <c r="D70" s="66">
        <v>1968.9433</v>
      </c>
      <c r="E70" s="65">
        <v>2156.36</v>
      </c>
      <c r="F70" s="66">
        <v>1012.669</v>
      </c>
      <c r="G70" s="58">
        <f t="shared" si="8"/>
        <v>-53.03803632046598</v>
      </c>
      <c r="H70" s="69">
        <f t="shared" si="3"/>
        <v>51.4321057391546</v>
      </c>
      <c r="I70" s="11"/>
      <c r="J70" s="11"/>
      <c r="K70" s="11"/>
      <c r="L70" s="16"/>
      <c r="M70" s="76">
        <f>F70*1.05*M71/100</f>
        <v>1079.25198675</v>
      </c>
      <c r="N70" s="77">
        <f>M70*N71*1.047/100</f>
        <v>1146.9264825791586</v>
      </c>
      <c r="O70" s="77">
        <f>M70*O71*1.047/100</f>
        <v>1152.576366729795</v>
      </c>
      <c r="P70" s="77">
        <f>N70*P71*1.066/100</f>
        <v>1240.9629848858237</v>
      </c>
      <c r="Q70" s="77">
        <f>O70*Q71*1.066/100</f>
        <v>1265.5057991419803</v>
      </c>
      <c r="R70" s="77">
        <f>P70*R71*1.066/100</f>
        <v>1342.7095400166124</v>
      </c>
      <c r="S70" s="77">
        <f>Q70*S71*1.066/100</f>
        <v>1389.5000573419115</v>
      </c>
    </row>
    <row r="71" spans="1:19" s="44" customFormat="1" ht="64.5" customHeight="1">
      <c r="A71" s="8" t="s">
        <v>62</v>
      </c>
      <c r="B71" s="9" t="s">
        <v>97</v>
      </c>
      <c r="C71" s="46" t="s">
        <v>12</v>
      </c>
      <c r="D71" s="68">
        <v>88.4</v>
      </c>
      <c r="E71" s="73">
        <v>101.5</v>
      </c>
      <c r="F71" s="68">
        <v>64.4</v>
      </c>
      <c r="G71" s="58">
        <f t="shared" si="8"/>
        <v>-36.55172413793103</v>
      </c>
      <c r="H71" s="69">
        <f t="shared" si="3"/>
        <v>72.85067873303167</v>
      </c>
      <c r="I71" s="11"/>
      <c r="J71" s="11"/>
      <c r="K71" s="11"/>
      <c r="L71" s="11"/>
      <c r="M71" s="11">
        <v>101.5</v>
      </c>
      <c r="N71" s="23">
        <v>101.5</v>
      </c>
      <c r="O71" s="23">
        <v>102</v>
      </c>
      <c r="P71" s="23">
        <v>101.5</v>
      </c>
      <c r="Q71" s="23">
        <v>103</v>
      </c>
      <c r="R71" s="23">
        <v>101.5</v>
      </c>
      <c r="S71" s="23">
        <v>103</v>
      </c>
    </row>
    <row r="72" spans="1:19" s="44" customFormat="1" ht="33.75" customHeight="1">
      <c r="A72" s="8" t="s">
        <v>63</v>
      </c>
      <c r="B72" s="9" t="s">
        <v>119</v>
      </c>
      <c r="C72" s="46" t="s">
        <v>12</v>
      </c>
      <c r="D72" s="66">
        <v>30.689</v>
      </c>
      <c r="E72" s="67">
        <v>33.11</v>
      </c>
      <c r="F72" s="66">
        <v>37.452</v>
      </c>
      <c r="G72" s="58">
        <f t="shared" si="8"/>
        <v>13.113862881304739</v>
      </c>
      <c r="H72" s="69">
        <f t="shared" si="3"/>
        <v>122.03721203036919</v>
      </c>
      <c r="I72" s="16"/>
      <c r="J72" s="16"/>
      <c r="K72" s="16"/>
      <c r="L72" s="16"/>
      <c r="M72" s="76">
        <f>F72*1.079</f>
        <v>40.410708</v>
      </c>
      <c r="N72" s="77">
        <f>M72*1.075</f>
        <v>43.4415111</v>
      </c>
      <c r="O72" s="77">
        <f>M72*1.08</f>
        <v>43.64356464</v>
      </c>
      <c r="P72" s="77">
        <f aca="true" t="shared" si="9" ref="P72:Q75">N72*1.071</f>
        <v>46.5258583881</v>
      </c>
      <c r="Q72" s="77">
        <f>O72*1.075</f>
        <v>46.916831988</v>
      </c>
      <c r="R72" s="77">
        <f aca="true" t="shared" si="10" ref="R72:S75">P72*1.068</f>
        <v>49.6896167584908</v>
      </c>
      <c r="S72" s="77">
        <f>Q72*1.07</f>
        <v>50.201010227160005</v>
      </c>
    </row>
    <row r="73" spans="1:19" s="44" customFormat="1" ht="53.25" customHeight="1">
      <c r="A73" s="8" t="s">
        <v>64</v>
      </c>
      <c r="B73" s="9" t="s">
        <v>119</v>
      </c>
      <c r="C73" s="46" t="s">
        <v>12</v>
      </c>
      <c r="D73" s="66">
        <v>14.87</v>
      </c>
      <c r="E73" s="67">
        <v>16.04</v>
      </c>
      <c r="F73" s="66">
        <v>18.674</v>
      </c>
      <c r="G73" s="58">
        <f t="shared" si="8"/>
        <v>16.421446384039907</v>
      </c>
      <c r="H73" s="69">
        <f t="shared" si="3"/>
        <v>125.58170813718897</v>
      </c>
      <c r="I73" s="16"/>
      <c r="J73" s="16"/>
      <c r="K73" s="16"/>
      <c r="L73" s="16"/>
      <c r="M73" s="76">
        <f>F73*1.079</f>
        <v>20.149245999999998</v>
      </c>
      <c r="N73" s="77">
        <f>M73*1.075</f>
        <v>21.66043945</v>
      </c>
      <c r="O73" s="77">
        <f>M73*1.075</f>
        <v>21.66043945</v>
      </c>
      <c r="P73" s="77">
        <f t="shared" si="9"/>
        <v>23.19833065095</v>
      </c>
      <c r="Q73" s="77">
        <f t="shared" si="9"/>
        <v>23.19833065095</v>
      </c>
      <c r="R73" s="77">
        <f t="shared" si="10"/>
        <v>24.7758171352146</v>
      </c>
      <c r="S73" s="77">
        <f t="shared" si="10"/>
        <v>24.7758171352146</v>
      </c>
    </row>
    <row r="74" spans="1:19" s="44" customFormat="1" ht="30.75" customHeight="1">
      <c r="A74" s="8" t="s">
        <v>65</v>
      </c>
      <c r="B74" s="9" t="s">
        <v>66</v>
      </c>
      <c r="C74" s="46" t="s">
        <v>6</v>
      </c>
      <c r="D74" s="66">
        <v>1304.3</v>
      </c>
      <c r="E74" s="65">
        <v>1333.1</v>
      </c>
      <c r="F74" s="66">
        <v>1354.1</v>
      </c>
      <c r="G74" s="58">
        <f t="shared" si="8"/>
        <v>1.5752756732428264</v>
      </c>
      <c r="H74" s="69">
        <f t="shared" si="3"/>
        <v>103.8181399984666</v>
      </c>
      <c r="I74" s="11"/>
      <c r="J74" s="11"/>
      <c r="K74" s="11"/>
      <c r="L74" s="16"/>
      <c r="M74" s="76">
        <f>$F$74+M72-(M72*0.1)</f>
        <v>1390.4696371999999</v>
      </c>
      <c r="N74" s="76">
        <f aca="true" t="shared" si="11" ref="N74:S74">$F$74+N72-(N72*0.1)</f>
        <v>1393.19735999</v>
      </c>
      <c r="O74" s="76">
        <f t="shared" si="11"/>
        <v>1393.379208176</v>
      </c>
      <c r="P74" s="76">
        <f t="shared" si="11"/>
        <v>1395.97327254929</v>
      </c>
      <c r="Q74" s="76">
        <f t="shared" si="11"/>
        <v>1396.3251487891998</v>
      </c>
      <c r="R74" s="76">
        <f t="shared" si="11"/>
        <v>1398.8206550826415</v>
      </c>
      <c r="S74" s="76">
        <f t="shared" si="11"/>
        <v>1399.2809092044438</v>
      </c>
    </row>
    <row r="75" spans="1:19" s="44" customFormat="1" ht="50.25" customHeight="1">
      <c r="A75" s="8" t="s">
        <v>67</v>
      </c>
      <c r="B75" s="9" t="s">
        <v>68</v>
      </c>
      <c r="C75" s="46" t="s">
        <v>6</v>
      </c>
      <c r="D75" s="66">
        <v>21.6</v>
      </c>
      <c r="E75" s="65">
        <v>23.12</v>
      </c>
      <c r="F75" s="66">
        <v>21.9</v>
      </c>
      <c r="G75" s="58">
        <f t="shared" si="8"/>
        <v>-5.2768166089965485</v>
      </c>
      <c r="H75" s="69">
        <f t="shared" si="3"/>
        <v>101.38888888888889</v>
      </c>
      <c r="I75" s="11"/>
      <c r="J75" s="11"/>
      <c r="K75" s="11"/>
      <c r="L75" s="16"/>
      <c r="M75" s="76">
        <f>F75*1.079</f>
        <v>23.6301</v>
      </c>
      <c r="N75" s="77">
        <f>M75*1.075</f>
        <v>25.402357499999997</v>
      </c>
      <c r="O75" s="77">
        <f>M75*1.075</f>
        <v>25.402357499999997</v>
      </c>
      <c r="P75" s="77">
        <f t="shared" si="9"/>
        <v>27.205924882499996</v>
      </c>
      <c r="Q75" s="77">
        <f t="shared" si="9"/>
        <v>27.205924882499996</v>
      </c>
      <c r="R75" s="77">
        <f t="shared" si="10"/>
        <v>29.055927774509996</v>
      </c>
      <c r="S75" s="77">
        <f t="shared" si="10"/>
        <v>29.055927774509996</v>
      </c>
    </row>
    <row r="76" spans="1:19" s="7" customFormat="1" ht="18.75" customHeight="1">
      <c r="A76" s="3" t="s">
        <v>69</v>
      </c>
      <c r="B76" s="4"/>
      <c r="C76" s="14"/>
      <c r="D76" s="91"/>
      <c r="E76" s="91"/>
      <c r="F76" s="91"/>
      <c r="G76" s="5"/>
      <c r="H76" s="5"/>
      <c r="I76" s="15"/>
      <c r="J76" s="15"/>
      <c r="K76" s="15"/>
      <c r="L76" s="6"/>
      <c r="M76" s="6"/>
      <c r="N76" s="52"/>
      <c r="O76" s="52"/>
      <c r="P76" s="52"/>
      <c r="Q76" s="52"/>
      <c r="R76" s="52"/>
      <c r="S76" s="52"/>
    </row>
    <row r="77" spans="1:19" s="24" customFormat="1" ht="21" customHeight="1">
      <c r="A77" s="17" t="s">
        <v>70</v>
      </c>
      <c r="B77" s="18" t="s">
        <v>71</v>
      </c>
      <c r="C77" s="78" t="s">
        <v>12</v>
      </c>
      <c r="D77" s="51">
        <v>1352.5</v>
      </c>
      <c r="E77" s="11">
        <v>1088.6</v>
      </c>
      <c r="F77" s="51">
        <v>1468.6</v>
      </c>
      <c r="G77" s="58">
        <f aca="true" t="shared" si="12" ref="G77:G83">(F77/E77-1)*100</f>
        <v>34.90722028293221</v>
      </c>
      <c r="H77" s="69">
        <f t="shared" si="3"/>
        <v>108.58410351201478</v>
      </c>
      <c r="I77" s="11"/>
      <c r="J77" s="11"/>
      <c r="K77" s="11"/>
      <c r="L77" s="16"/>
      <c r="M77" s="16">
        <v>1277.1</v>
      </c>
      <c r="N77" s="16">
        <v>1297.7</v>
      </c>
      <c r="O77" s="16">
        <f aca="true" t="shared" si="13" ref="O77:O82">N77*1.045</f>
        <v>1356.0964999999999</v>
      </c>
      <c r="P77" s="16">
        <v>1341.9</v>
      </c>
      <c r="Q77" s="16">
        <f aca="true" t="shared" si="14" ref="Q77:Q82">P77*1.041</f>
        <v>1396.9179</v>
      </c>
      <c r="R77" s="16">
        <v>1341.9</v>
      </c>
      <c r="S77" s="16">
        <f aca="true" t="shared" si="15" ref="S77:S82">R77*1.04</f>
        <v>1395.5760000000002</v>
      </c>
    </row>
    <row r="78" spans="1:19" s="24" customFormat="1" ht="18" customHeight="1">
      <c r="A78" s="17" t="s">
        <v>72</v>
      </c>
      <c r="B78" s="18" t="s">
        <v>71</v>
      </c>
      <c r="C78" s="78" t="s">
        <v>12</v>
      </c>
      <c r="D78" s="51">
        <v>751.5</v>
      </c>
      <c r="E78" s="11">
        <v>752</v>
      </c>
      <c r="F78" s="51">
        <v>784.5</v>
      </c>
      <c r="G78" s="58">
        <f t="shared" si="12"/>
        <v>4.321808510638303</v>
      </c>
      <c r="H78" s="69">
        <f t="shared" si="3"/>
        <v>104.39121756487026</v>
      </c>
      <c r="I78" s="11"/>
      <c r="J78" s="11"/>
      <c r="K78" s="11"/>
      <c r="L78" s="16"/>
      <c r="M78" s="16">
        <v>820</v>
      </c>
      <c r="N78" s="16">
        <v>867</v>
      </c>
      <c r="O78" s="16">
        <f t="shared" si="13"/>
        <v>906.015</v>
      </c>
      <c r="P78" s="16">
        <v>911.2</v>
      </c>
      <c r="Q78" s="16">
        <f t="shared" si="14"/>
        <v>948.5592</v>
      </c>
      <c r="R78" s="16">
        <v>911.2</v>
      </c>
      <c r="S78" s="16">
        <f t="shared" si="15"/>
        <v>947.648</v>
      </c>
    </row>
    <row r="79" spans="1:19" s="24" customFormat="1" ht="22.5" customHeight="1">
      <c r="A79" s="17" t="s">
        <v>73</v>
      </c>
      <c r="B79" s="18" t="s">
        <v>71</v>
      </c>
      <c r="C79" s="78" t="s">
        <v>12</v>
      </c>
      <c r="D79" s="51">
        <v>674</v>
      </c>
      <c r="E79" s="11">
        <v>694.7</v>
      </c>
      <c r="F79" s="51">
        <v>744.2</v>
      </c>
      <c r="G79" s="58">
        <f t="shared" si="12"/>
        <v>7.12537786094718</v>
      </c>
      <c r="H79" s="69">
        <f t="shared" si="3"/>
        <v>110.41543026706233</v>
      </c>
      <c r="I79" s="11"/>
      <c r="J79" s="11"/>
      <c r="K79" s="11"/>
      <c r="L79" s="16"/>
      <c r="M79" s="16">
        <v>770.6</v>
      </c>
      <c r="N79" s="16">
        <v>820.5</v>
      </c>
      <c r="O79" s="16">
        <f t="shared" si="13"/>
        <v>857.4224999999999</v>
      </c>
      <c r="P79" s="16">
        <v>864.1</v>
      </c>
      <c r="Q79" s="16">
        <f t="shared" si="14"/>
        <v>899.5281</v>
      </c>
      <c r="R79" s="16">
        <v>864.1</v>
      </c>
      <c r="S79" s="16">
        <f t="shared" si="15"/>
        <v>898.6640000000001</v>
      </c>
    </row>
    <row r="80" spans="1:19" s="24" customFormat="1" ht="18" customHeight="1">
      <c r="A80" s="17" t="s">
        <v>74</v>
      </c>
      <c r="B80" s="18" t="s">
        <v>71</v>
      </c>
      <c r="C80" s="78" t="s">
        <v>12</v>
      </c>
      <c r="D80" s="51">
        <v>77.5</v>
      </c>
      <c r="E80" s="11">
        <v>57.3</v>
      </c>
      <c r="F80" s="51">
        <v>40.3</v>
      </c>
      <c r="G80" s="58">
        <f>(F80/E80-1)*100</f>
        <v>-29.668411867364753</v>
      </c>
      <c r="H80" s="69">
        <f t="shared" si="3"/>
        <v>52</v>
      </c>
      <c r="I80" s="11"/>
      <c r="J80" s="11"/>
      <c r="K80" s="11"/>
      <c r="L80" s="16"/>
      <c r="M80" s="16">
        <v>43.8</v>
      </c>
      <c r="N80" s="16">
        <v>46.5</v>
      </c>
      <c r="O80" s="16">
        <f t="shared" si="13"/>
        <v>48.592499999999994</v>
      </c>
      <c r="P80" s="16">
        <v>47.1</v>
      </c>
      <c r="Q80" s="16">
        <f t="shared" si="14"/>
        <v>49.031099999999995</v>
      </c>
      <c r="R80" s="16">
        <v>47.1</v>
      </c>
      <c r="S80" s="16">
        <f t="shared" si="15"/>
        <v>48.984</v>
      </c>
    </row>
    <row r="81" spans="1:19" ht="30.75" customHeight="1">
      <c r="A81" s="8" t="s">
        <v>75</v>
      </c>
      <c r="B81" s="9" t="s">
        <v>71</v>
      </c>
      <c r="C81" s="46" t="s">
        <v>12</v>
      </c>
      <c r="D81" s="51">
        <v>613.8</v>
      </c>
      <c r="E81" s="11">
        <v>336.6</v>
      </c>
      <c r="F81" s="51">
        <v>688</v>
      </c>
      <c r="G81" s="58">
        <f t="shared" si="12"/>
        <v>104.39691027926318</v>
      </c>
      <c r="H81" s="69">
        <f t="shared" si="3"/>
        <v>112.08862821766049</v>
      </c>
      <c r="I81" s="11"/>
      <c r="J81" s="11"/>
      <c r="K81" s="11"/>
      <c r="L81" s="16"/>
      <c r="M81" s="16">
        <v>460.8</v>
      </c>
      <c r="N81" s="53">
        <v>430.7</v>
      </c>
      <c r="O81" s="16">
        <f t="shared" si="13"/>
        <v>450.08149999999995</v>
      </c>
      <c r="P81" s="53">
        <v>430.7</v>
      </c>
      <c r="Q81" s="16">
        <f t="shared" si="14"/>
        <v>448.35869999999994</v>
      </c>
      <c r="R81" s="53">
        <v>430.7</v>
      </c>
      <c r="S81" s="16">
        <f t="shared" si="15"/>
        <v>447.928</v>
      </c>
    </row>
    <row r="82" spans="1:19" s="24" customFormat="1" ht="15" customHeight="1">
      <c r="A82" s="17" t="s">
        <v>76</v>
      </c>
      <c r="B82" s="18" t="s">
        <v>71</v>
      </c>
      <c r="C82" s="78" t="s">
        <v>12</v>
      </c>
      <c r="D82" s="51">
        <v>1352.686</v>
      </c>
      <c r="E82" s="11">
        <v>1159.7</v>
      </c>
      <c r="F82" s="51">
        <v>1522.7</v>
      </c>
      <c r="G82" s="58">
        <f t="shared" si="12"/>
        <v>31.30119858584117</v>
      </c>
      <c r="H82" s="69">
        <f t="shared" si="3"/>
        <v>112.56862272545145</v>
      </c>
      <c r="I82" s="11"/>
      <c r="J82" s="11"/>
      <c r="K82" s="11"/>
      <c r="L82" s="16"/>
      <c r="M82" s="16">
        <v>1333.3</v>
      </c>
      <c r="N82" s="16">
        <v>1306.3</v>
      </c>
      <c r="O82" s="16">
        <f t="shared" si="13"/>
        <v>1365.0835</v>
      </c>
      <c r="P82" s="16">
        <v>1341.9</v>
      </c>
      <c r="Q82" s="16">
        <f t="shared" si="14"/>
        <v>1396.9179</v>
      </c>
      <c r="R82" s="16">
        <v>1341.9</v>
      </c>
      <c r="S82" s="16">
        <f t="shared" si="15"/>
        <v>1395.5760000000002</v>
      </c>
    </row>
    <row r="83" spans="1:19" s="24" customFormat="1" ht="19.5" customHeight="1">
      <c r="A83" s="17" t="s">
        <v>77</v>
      </c>
      <c r="B83" s="18" t="s">
        <v>90</v>
      </c>
      <c r="C83" s="78" t="s">
        <v>12</v>
      </c>
      <c r="D83" s="11">
        <f>D77-D82</f>
        <v>-0.18599999999992178</v>
      </c>
      <c r="E83" s="11">
        <f>E77-E82</f>
        <v>-71.10000000000014</v>
      </c>
      <c r="F83" s="11">
        <f>F77-F82</f>
        <v>-54.100000000000136</v>
      </c>
      <c r="G83" s="58">
        <f t="shared" si="12"/>
        <v>-23.90998593530235</v>
      </c>
      <c r="H83" s="69">
        <f t="shared" si="3"/>
        <v>29086.021505388646</v>
      </c>
      <c r="I83" s="11"/>
      <c r="J83" s="11"/>
      <c r="K83" s="11"/>
      <c r="L83" s="16"/>
      <c r="M83" s="11">
        <f aca="true" t="shared" si="16" ref="M83:S83">M77-M82</f>
        <v>-56.200000000000045</v>
      </c>
      <c r="N83" s="11">
        <v>-8.6</v>
      </c>
      <c r="O83" s="11">
        <f t="shared" si="16"/>
        <v>-8.98700000000008</v>
      </c>
      <c r="P83" s="11">
        <v>0</v>
      </c>
      <c r="Q83" s="11">
        <f t="shared" si="16"/>
        <v>0</v>
      </c>
      <c r="R83" s="11">
        <f t="shared" si="16"/>
        <v>0</v>
      </c>
      <c r="S83" s="11">
        <f t="shared" si="16"/>
        <v>0</v>
      </c>
    </row>
    <row r="84" spans="1:19" s="7" customFormat="1" ht="15.75" hidden="1">
      <c r="A84" s="3" t="s">
        <v>78</v>
      </c>
      <c r="B84" s="4"/>
      <c r="C84" s="14"/>
      <c r="D84" s="54"/>
      <c r="E84" s="45"/>
      <c r="F84" s="54"/>
      <c r="G84" s="11"/>
      <c r="H84" s="11"/>
      <c r="I84" s="15"/>
      <c r="J84" s="15"/>
      <c r="K84" s="15"/>
      <c r="L84" s="6"/>
      <c r="M84" s="6"/>
      <c r="N84" s="52"/>
      <c r="O84" s="52"/>
      <c r="P84" s="52"/>
      <c r="Q84" s="52"/>
      <c r="R84" s="52"/>
      <c r="S84" s="52"/>
    </row>
    <row r="85" spans="1:19" ht="15.75" hidden="1">
      <c r="A85" s="25" t="s">
        <v>79</v>
      </c>
      <c r="B85" s="26" t="s">
        <v>108</v>
      </c>
      <c r="C85" s="27" t="s">
        <v>6</v>
      </c>
      <c r="D85" s="51"/>
      <c r="E85" s="11"/>
      <c r="F85" s="51"/>
      <c r="G85" s="11"/>
      <c r="H85" s="11"/>
      <c r="I85" s="11"/>
      <c r="J85" s="11"/>
      <c r="K85" s="11"/>
      <c r="L85" s="12"/>
      <c r="M85" s="12"/>
      <c r="N85" s="49"/>
      <c r="O85" s="49"/>
      <c r="P85" s="49"/>
      <c r="Q85" s="49"/>
      <c r="R85" s="49"/>
      <c r="S85" s="49"/>
    </row>
    <row r="86" spans="1:19" ht="15.75" hidden="1">
      <c r="A86" s="28" t="s">
        <v>27</v>
      </c>
      <c r="B86" s="26"/>
      <c r="C86" s="29"/>
      <c r="D86" s="23"/>
      <c r="E86" s="11"/>
      <c r="F86" s="23"/>
      <c r="G86" s="11"/>
      <c r="H86" s="11"/>
      <c r="I86" s="11"/>
      <c r="J86" s="11"/>
      <c r="K86" s="11"/>
      <c r="L86" s="12"/>
      <c r="M86" s="12"/>
      <c r="N86" s="49"/>
      <c r="O86" s="49"/>
      <c r="P86" s="49"/>
      <c r="Q86" s="49"/>
      <c r="R86" s="49"/>
      <c r="S86" s="49"/>
    </row>
    <row r="87" spans="1:19" ht="15.75" hidden="1">
      <c r="A87" s="28" t="s">
        <v>80</v>
      </c>
      <c r="B87" s="26" t="s">
        <v>108</v>
      </c>
      <c r="C87" s="27" t="s">
        <v>6</v>
      </c>
      <c r="D87" s="51"/>
      <c r="E87" s="11"/>
      <c r="F87" s="51"/>
      <c r="G87" s="11"/>
      <c r="H87" s="11"/>
      <c r="I87" s="11"/>
      <c r="J87" s="11"/>
      <c r="K87" s="11"/>
      <c r="L87" s="12"/>
      <c r="M87" s="12"/>
      <c r="N87" s="49"/>
      <c r="O87" s="49"/>
      <c r="P87" s="49"/>
      <c r="Q87" s="49"/>
      <c r="R87" s="49"/>
      <c r="S87" s="49"/>
    </row>
    <row r="88" spans="1:19" ht="15.75" hidden="1">
      <c r="A88" s="28" t="s">
        <v>81</v>
      </c>
      <c r="B88" s="26" t="s">
        <v>108</v>
      </c>
      <c r="C88" s="27" t="s">
        <v>6</v>
      </c>
      <c r="D88" s="51"/>
      <c r="E88" s="11"/>
      <c r="F88" s="51"/>
      <c r="G88" s="11"/>
      <c r="H88" s="11"/>
      <c r="I88" s="11"/>
      <c r="J88" s="11"/>
      <c r="K88" s="11"/>
      <c r="L88" s="12"/>
      <c r="M88" s="12"/>
      <c r="N88" s="49"/>
      <c r="O88" s="49"/>
      <c r="P88" s="49"/>
      <c r="Q88" s="49"/>
      <c r="R88" s="49"/>
      <c r="S88" s="49"/>
    </row>
    <row r="89" spans="1:19" ht="15.75" hidden="1">
      <c r="A89" s="28" t="s">
        <v>82</v>
      </c>
      <c r="B89" s="26" t="s">
        <v>108</v>
      </c>
      <c r="C89" s="27" t="s">
        <v>6</v>
      </c>
      <c r="D89" s="51"/>
      <c r="E89" s="11"/>
      <c r="F89" s="51"/>
      <c r="G89" s="11"/>
      <c r="H89" s="11"/>
      <c r="I89" s="11"/>
      <c r="J89" s="11"/>
      <c r="K89" s="11"/>
      <c r="L89" s="12"/>
      <c r="M89" s="12"/>
      <c r="N89" s="49"/>
      <c r="O89" s="49"/>
      <c r="P89" s="49"/>
      <c r="Q89" s="49"/>
      <c r="R89" s="49"/>
      <c r="S89" s="49"/>
    </row>
    <row r="90" spans="1:19" ht="15.75" hidden="1">
      <c r="A90" s="28" t="s">
        <v>83</v>
      </c>
      <c r="B90" s="26" t="s">
        <v>108</v>
      </c>
      <c r="C90" s="27" t="s">
        <v>6</v>
      </c>
      <c r="D90" s="51"/>
      <c r="E90" s="11"/>
      <c r="F90" s="51"/>
      <c r="G90" s="11"/>
      <c r="H90" s="11"/>
      <c r="I90" s="11"/>
      <c r="J90" s="11"/>
      <c r="K90" s="11"/>
      <c r="L90" s="12"/>
      <c r="M90" s="12"/>
      <c r="N90" s="49"/>
      <c r="O90" s="49"/>
      <c r="P90" s="49"/>
      <c r="Q90" s="49"/>
      <c r="R90" s="49"/>
      <c r="S90" s="49"/>
    </row>
    <row r="91" spans="1:19" ht="15.75" hidden="1">
      <c r="A91" s="28" t="s">
        <v>84</v>
      </c>
      <c r="B91" s="26" t="s">
        <v>108</v>
      </c>
      <c r="C91" s="27" t="s">
        <v>6</v>
      </c>
      <c r="D91" s="51"/>
      <c r="E91" s="11"/>
      <c r="F91" s="51"/>
      <c r="G91" s="11"/>
      <c r="H91" s="11"/>
      <c r="I91" s="11"/>
      <c r="J91" s="11"/>
      <c r="K91" s="11"/>
      <c r="L91" s="12"/>
      <c r="M91" s="12"/>
      <c r="N91" s="49"/>
      <c r="O91" s="49"/>
      <c r="P91" s="49"/>
      <c r="Q91" s="49"/>
      <c r="R91" s="49"/>
      <c r="S91" s="49"/>
    </row>
    <row r="92" spans="1:19" ht="15.75" hidden="1">
      <c r="A92" s="28" t="s">
        <v>85</v>
      </c>
      <c r="B92" s="26" t="s">
        <v>108</v>
      </c>
      <c r="C92" s="27" t="s">
        <v>6</v>
      </c>
      <c r="D92" s="51"/>
      <c r="E92" s="11"/>
      <c r="F92" s="51"/>
      <c r="G92" s="11"/>
      <c r="H92" s="11"/>
      <c r="I92" s="11"/>
      <c r="J92" s="11"/>
      <c r="K92" s="11"/>
      <c r="L92" s="12"/>
      <c r="M92" s="12"/>
      <c r="N92" s="49"/>
      <c r="O92" s="49"/>
      <c r="P92" s="49"/>
      <c r="Q92" s="49"/>
      <c r="R92" s="49"/>
      <c r="S92" s="49"/>
    </row>
    <row r="93" spans="1:19" ht="15.75" hidden="1">
      <c r="A93" s="28" t="s">
        <v>86</v>
      </c>
      <c r="B93" s="26" t="s">
        <v>108</v>
      </c>
      <c r="C93" s="27" t="s">
        <v>6</v>
      </c>
      <c r="D93" s="51"/>
      <c r="E93" s="11"/>
      <c r="F93" s="51"/>
      <c r="G93" s="11"/>
      <c r="H93" s="11"/>
      <c r="I93" s="11"/>
      <c r="J93" s="11"/>
      <c r="K93" s="11"/>
      <c r="L93" s="12"/>
      <c r="M93" s="12"/>
      <c r="N93" s="49"/>
      <c r="O93" s="49"/>
      <c r="P93" s="49"/>
      <c r="Q93" s="49"/>
      <c r="R93" s="49"/>
      <c r="S93" s="49"/>
    </row>
    <row r="94" spans="1:19" ht="15" customHeight="1" hidden="1">
      <c r="A94" s="28" t="s">
        <v>87</v>
      </c>
      <c r="B94" s="26" t="s">
        <v>97</v>
      </c>
      <c r="C94" s="27" t="s">
        <v>6</v>
      </c>
      <c r="D94" s="51"/>
      <c r="E94" s="11"/>
      <c r="F94" s="51"/>
      <c r="G94" s="11"/>
      <c r="H94" s="11"/>
      <c r="I94" s="11"/>
      <c r="J94" s="11"/>
      <c r="K94" s="11"/>
      <c r="L94" s="12"/>
      <c r="M94" s="12"/>
      <c r="N94" s="49"/>
      <c r="O94" s="49"/>
      <c r="P94" s="49"/>
      <c r="Q94" s="49"/>
      <c r="R94" s="49"/>
      <c r="S94" s="49"/>
    </row>
    <row r="95" spans="1:19" ht="31.5" hidden="1">
      <c r="A95" s="28" t="s">
        <v>88</v>
      </c>
      <c r="B95" s="26" t="s">
        <v>108</v>
      </c>
      <c r="C95" s="27" t="s">
        <v>6</v>
      </c>
      <c r="D95" s="51"/>
      <c r="E95" s="11"/>
      <c r="F95" s="51"/>
      <c r="G95" s="11"/>
      <c r="H95" s="11"/>
      <c r="I95" s="11"/>
      <c r="J95" s="11"/>
      <c r="K95" s="11"/>
      <c r="L95" s="12"/>
      <c r="M95" s="12"/>
      <c r="N95" s="49"/>
      <c r="O95" s="49"/>
      <c r="P95" s="49"/>
      <c r="Q95" s="49"/>
      <c r="R95" s="49"/>
      <c r="S95" s="49"/>
    </row>
    <row r="96" spans="1:19" s="7" customFormat="1" ht="15.75" hidden="1">
      <c r="A96" s="3" t="s">
        <v>89</v>
      </c>
      <c r="B96" s="4" t="s">
        <v>90</v>
      </c>
      <c r="C96" s="14"/>
      <c r="D96" s="54"/>
      <c r="E96" s="45"/>
      <c r="F96" s="54"/>
      <c r="G96" s="11"/>
      <c r="H96" s="11"/>
      <c r="I96" s="15"/>
      <c r="J96" s="15"/>
      <c r="K96" s="15"/>
      <c r="L96" s="6"/>
      <c r="M96" s="6"/>
      <c r="N96" s="52"/>
      <c r="O96" s="52"/>
      <c r="P96" s="52"/>
      <c r="Q96" s="52"/>
      <c r="R96" s="52"/>
      <c r="S96" s="52"/>
    </row>
    <row r="97" spans="1:19" ht="15.75" hidden="1">
      <c r="A97" s="28" t="s">
        <v>27</v>
      </c>
      <c r="B97" s="26" t="s">
        <v>91</v>
      </c>
      <c r="C97" s="29"/>
      <c r="D97" s="23"/>
      <c r="E97" s="11"/>
      <c r="F97" s="23"/>
      <c r="G97" s="11"/>
      <c r="H97" s="11"/>
      <c r="I97" s="11"/>
      <c r="J97" s="11"/>
      <c r="K97" s="11"/>
      <c r="L97" s="12"/>
      <c r="M97" s="12"/>
      <c r="N97" s="49"/>
      <c r="O97" s="49"/>
      <c r="P97" s="49"/>
      <c r="Q97" s="49"/>
      <c r="R97" s="49"/>
      <c r="S97" s="49"/>
    </row>
    <row r="98" spans="1:19" ht="15.75" hidden="1">
      <c r="A98" s="28" t="s">
        <v>92</v>
      </c>
      <c r="B98" s="26" t="s">
        <v>108</v>
      </c>
      <c r="C98" s="27" t="s">
        <v>6</v>
      </c>
      <c r="D98" s="51"/>
      <c r="E98" s="11"/>
      <c r="F98" s="51"/>
      <c r="G98" s="11"/>
      <c r="H98" s="11"/>
      <c r="I98" s="11"/>
      <c r="J98" s="11"/>
      <c r="K98" s="11"/>
      <c r="L98" s="12"/>
      <c r="M98" s="12"/>
      <c r="N98" s="49"/>
      <c r="O98" s="49"/>
      <c r="P98" s="49"/>
      <c r="Q98" s="49"/>
      <c r="R98" s="49"/>
      <c r="S98" s="49"/>
    </row>
    <row r="99" spans="1:19" ht="15.75" hidden="1">
      <c r="A99" s="28" t="s">
        <v>93</v>
      </c>
      <c r="B99" s="26" t="s">
        <v>108</v>
      </c>
      <c r="C99" s="27" t="s">
        <v>6</v>
      </c>
      <c r="D99" s="51"/>
      <c r="E99" s="11"/>
      <c r="F99" s="51"/>
      <c r="G99" s="11"/>
      <c r="H99" s="11"/>
      <c r="I99" s="11"/>
      <c r="J99" s="11"/>
      <c r="K99" s="11"/>
      <c r="L99" s="12"/>
      <c r="M99" s="12"/>
      <c r="N99" s="49"/>
      <c r="O99" s="49"/>
      <c r="P99" s="49"/>
      <c r="Q99" s="49"/>
      <c r="R99" s="49"/>
      <c r="S99" s="49"/>
    </row>
    <row r="100" spans="1:19" ht="15.75" customHeight="1" hidden="1">
      <c r="A100" s="28" t="s">
        <v>94</v>
      </c>
      <c r="B100" s="26" t="s">
        <v>108</v>
      </c>
      <c r="C100" s="27" t="s">
        <v>6</v>
      </c>
      <c r="D100" s="51"/>
      <c r="E100" s="11"/>
      <c r="F100" s="51"/>
      <c r="G100" s="11"/>
      <c r="H100" s="11"/>
      <c r="I100" s="11"/>
      <c r="J100" s="11"/>
      <c r="K100" s="11"/>
      <c r="L100" s="12"/>
      <c r="M100" s="12"/>
      <c r="N100" s="49"/>
      <c r="O100" s="49"/>
      <c r="P100" s="49"/>
      <c r="Q100" s="49"/>
      <c r="R100" s="49"/>
      <c r="S100" s="49"/>
    </row>
    <row r="101" spans="1:19" ht="15.75" hidden="1">
      <c r="A101" s="28" t="s">
        <v>95</v>
      </c>
      <c r="B101" s="26" t="s">
        <v>108</v>
      </c>
      <c r="C101" s="27" t="s">
        <v>6</v>
      </c>
      <c r="D101" s="51"/>
      <c r="E101" s="11"/>
      <c r="F101" s="51"/>
      <c r="G101" s="11"/>
      <c r="H101" s="11"/>
      <c r="I101" s="11"/>
      <c r="J101" s="11"/>
      <c r="K101" s="11"/>
      <c r="L101" s="12"/>
      <c r="M101" s="12"/>
      <c r="N101" s="49"/>
      <c r="O101" s="49"/>
      <c r="P101" s="49"/>
      <c r="Q101" s="49"/>
      <c r="R101" s="49"/>
      <c r="S101" s="49"/>
    </row>
    <row r="102" spans="1:19" ht="31.5" hidden="1">
      <c r="A102" s="28" t="s">
        <v>96</v>
      </c>
      <c r="B102" s="26" t="s">
        <v>108</v>
      </c>
      <c r="C102" s="27" t="s">
        <v>6</v>
      </c>
      <c r="D102" s="51"/>
      <c r="E102" s="11"/>
      <c r="F102" s="51"/>
      <c r="G102" s="11"/>
      <c r="H102" s="11"/>
      <c r="I102" s="11"/>
      <c r="J102" s="11"/>
      <c r="K102" s="11"/>
      <c r="L102" s="12"/>
      <c r="M102" s="12"/>
      <c r="N102" s="49"/>
      <c r="O102" s="49"/>
      <c r="P102" s="49"/>
      <c r="Q102" s="49"/>
      <c r="R102" s="49"/>
      <c r="S102" s="49"/>
    </row>
    <row r="103" spans="1:19" s="7" customFormat="1" ht="15.75">
      <c r="A103" s="3" t="s">
        <v>130</v>
      </c>
      <c r="B103" s="4"/>
      <c r="C103" s="14"/>
      <c r="D103" s="91"/>
      <c r="E103" s="91"/>
      <c r="F103" s="91"/>
      <c r="G103" s="5"/>
      <c r="H103" s="5"/>
      <c r="I103" s="15"/>
      <c r="J103" s="15"/>
      <c r="K103" s="15"/>
      <c r="L103" s="6"/>
      <c r="M103" s="6"/>
      <c r="N103" s="52"/>
      <c r="O103" s="52"/>
      <c r="P103" s="52"/>
      <c r="Q103" s="52"/>
      <c r="R103" s="52"/>
      <c r="S103" s="52"/>
    </row>
    <row r="104" spans="1:19" s="30" customFormat="1" ht="30.75" customHeight="1">
      <c r="A104" s="8" t="s">
        <v>127</v>
      </c>
      <c r="B104" s="9" t="s">
        <v>109</v>
      </c>
      <c r="C104" s="46" t="s">
        <v>6</v>
      </c>
      <c r="D104" s="60">
        <v>17.396</v>
      </c>
      <c r="E104" s="57">
        <f>D104*0.05+D104</f>
        <v>18.265800000000002</v>
      </c>
      <c r="F104" s="60">
        <v>17.071</v>
      </c>
      <c r="G104" s="58">
        <f>(F104/E104-1)*100</f>
        <v>-6.541186260662002</v>
      </c>
      <c r="H104" s="69">
        <f>F104/D104*100</f>
        <v>98.13175442630491</v>
      </c>
      <c r="I104" s="57"/>
      <c r="J104" s="57"/>
      <c r="K104" s="57"/>
      <c r="L104" s="61"/>
      <c r="M104" s="62">
        <f>F104*1.05</f>
        <v>17.924550000000004</v>
      </c>
      <c r="N104" s="62">
        <f>M104*1.01</f>
        <v>18.103795500000004</v>
      </c>
      <c r="O104" s="62">
        <f>M104*1.015</f>
        <v>18.19341825</v>
      </c>
      <c r="P104" s="62">
        <f>N104*1.01</f>
        <v>18.284833455000005</v>
      </c>
      <c r="Q104" s="62">
        <f>O104*1.015</f>
        <v>18.46631952375</v>
      </c>
      <c r="R104" s="62">
        <f>P104*1.01</f>
        <v>18.467681789550006</v>
      </c>
      <c r="S104" s="62">
        <f>Q104*1.015</f>
        <v>18.743314316606245</v>
      </c>
    </row>
    <row r="105" spans="1:19" ht="51.75" customHeight="1">
      <c r="A105" s="8" t="s">
        <v>128</v>
      </c>
      <c r="B105" s="9" t="s">
        <v>97</v>
      </c>
      <c r="C105" s="46" t="s">
        <v>12</v>
      </c>
      <c r="D105" s="59">
        <v>2.08</v>
      </c>
      <c r="E105" s="73">
        <f>D105*0.05+D105</f>
        <v>2.184</v>
      </c>
      <c r="F105" s="59">
        <v>1.96</v>
      </c>
      <c r="G105" s="58">
        <f>(F105/E105-1)*100</f>
        <v>-10.256410256410264</v>
      </c>
      <c r="H105" s="69">
        <f>F105/D105*100</f>
        <v>94.23076923076923</v>
      </c>
      <c r="I105" s="11"/>
      <c r="J105" s="11"/>
      <c r="K105" s="11"/>
      <c r="L105" s="16"/>
      <c r="M105" s="23">
        <f>F105*1.05</f>
        <v>2.058</v>
      </c>
      <c r="N105" s="51">
        <v>2.4</v>
      </c>
      <c r="O105" s="51">
        <v>1.9</v>
      </c>
      <c r="P105" s="51">
        <v>2.2</v>
      </c>
      <c r="Q105" s="51">
        <v>1.5</v>
      </c>
      <c r="R105" s="51">
        <v>2.2</v>
      </c>
      <c r="S105" s="51">
        <v>1.5</v>
      </c>
    </row>
    <row r="106" spans="1:19" ht="71.25" customHeight="1">
      <c r="A106" s="8" t="s">
        <v>129</v>
      </c>
      <c r="B106" s="9" t="s">
        <v>98</v>
      </c>
      <c r="C106" s="46" t="s">
        <v>12</v>
      </c>
      <c r="D106" s="68">
        <v>25979.9</v>
      </c>
      <c r="E106" s="73">
        <v>27249</v>
      </c>
      <c r="F106" s="68">
        <v>29321.1</v>
      </c>
      <c r="G106" s="69">
        <f>(F106/E106-1)*100</f>
        <v>7.604315754706592</v>
      </c>
      <c r="H106" s="69">
        <f>F106/D106*100</f>
        <v>112.86071155008293</v>
      </c>
      <c r="I106" s="74">
        <f>F106*1.01</f>
        <v>29614.310999999998</v>
      </c>
      <c r="J106" s="74">
        <f>F106*1.015</f>
        <v>29760.916499999996</v>
      </c>
      <c r="K106" s="74">
        <f>I106*1.01</f>
        <v>29910.45411</v>
      </c>
      <c r="L106" s="74">
        <f>J106*1.015</f>
        <v>30207.33024749999</v>
      </c>
      <c r="M106" s="74">
        <f>F106*1.05</f>
        <v>30787.155</v>
      </c>
      <c r="N106" s="74">
        <f>M106*1.01</f>
        <v>31095.02655</v>
      </c>
      <c r="O106" s="74">
        <f>M106*1.015</f>
        <v>31248.962324999997</v>
      </c>
      <c r="P106" s="74">
        <f>N106*1.01</f>
        <v>31405.9768155</v>
      </c>
      <c r="Q106" s="74">
        <f>O106*1.015</f>
        <v>31717.696759874994</v>
      </c>
      <c r="R106" s="74">
        <f>P106*1.01</f>
        <v>31720.036583654997</v>
      </c>
      <c r="S106" s="74">
        <f>Q106*1.015</f>
        <v>32193.462211273116</v>
      </c>
    </row>
    <row r="107" spans="1:19" s="7" customFormat="1" ht="15.75">
      <c r="A107" s="42" t="s">
        <v>131</v>
      </c>
      <c r="B107" s="42"/>
      <c r="C107" s="42"/>
      <c r="D107" s="96"/>
      <c r="E107" s="96"/>
      <c r="F107" s="96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</row>
    <row r="108" spans="1:19" ht="105" customHeight="1">
      <c r="A108" s="83" t="s">
        <v>125</v>
      </c>
      <c r="B108" s="9" t="s">
        <v>97</v>
      </c>
      <c r="C108" s="46" t="s">
        <v>6</v>
      </c>
      <c r="D108" s="84">
        <v>64.499</v>
      </c>
      <c r="E108" s="57">
        <v>57.346</v>
      </c>
      <c r="F108" s="84">
        <v>58.64</v>
      </c>
      <c r="G108" s="58">
        <f>(F108/E108-1)*100</f>
        <v>2.2564782199281597</v>
      </c>
      <c r="H108" s="69">
        <f>F108/D108*100</f>
        <v>90.91613823470132</v>
      </c>
      <c r="I108" s="11"/>
      <c r="J108" s="11"/>
      <c r="K108" s="11"/>
      <c r="L108" s="16"/>
      <c r="M108" s="84">
        <v>61.092583770049195</v>
      </c>
      <c r="N108" s="84">
        <v>61.199820922250396</v>
      </c>
      <c r="O108" s="64">
        <v>61.8</v>
      </c>
      <c r="P108" s="84">
        <v>62.9681386249301</v>
      </c>
      <c r="Q108" s="64">
        <v>63.56</v>
      </c>
      <c r="R108" s="64">
        <v>63.2</v>
      </c>
      <c r="S108" s="64">
        <v>64.8</v>
      </c>
    </row>
    <row r="109" spans="1:17" ht="15.75">
      <c r="A109" s="1"/>
      <c r="B109" s="1"/>
      <c r="C109" s="1"/>
      <c r="G109" s="85"/>
      <c r="H109" s="86"/>
      <c r="I109" s="85"/>
      <c r="J109" s="85"/>
      <c r="K109" s="85"/>
      <c r="L109" s="85"/>
      <c r="M109" s="87"/>
      <c r="N109" s="88"/>
      <c r="O109" s="85"/>
      <c r="P109" s="47"/>
      <c r="Q109" s="47"/>
    </row>
  </sheetData>
  <sheetProtection/>
  <mergeCells count="40">
    <mergeCell ref="A62:C62"/>
    <mergeCell ref="C4:C7"/>
    <mergeCell ref="A49:C49"/>
    <mergeCell ref="A22:C22"/>
    <mergeCell ref="A38:C38"/>
    <mergeCell ref="A13:C13"/>
    <mergeCell ref="A4:A7"/>
    <mergeCell ref="B4:B7"/>
    <mergeCell ref="A16:C16"/>
    <mergeCell ref="A19:C19"/>
    <mergeCell ref="J4:S4"/>
    <mergeCell ref="I6:I7"/>
    <mergeCell ref="J6:J7"/>
    <mergeCell ref="L6:L7"/>
    <mergeCell ref="P5:Q5"/>
    <mergeCell ref="R5:S5"/>
    <mergeCell ref="R6:R7"/>
    <mergeCell ref="S6:S7"/>
    <mergeCell ref="N5:O5"/>
    <mergeCell ref="N6:N7"/>
    <mergeCell ref="G62:H62"/>
    <mergeCell ref="D6:D7"/>
    <mergeCell ref="G49:H49"/>
    <mergeCell ref="G38:H38"/>
    <mergeCell ref="G22:H22"/>
    <mergeCell ref="D4:D5"/>
    <mergeCell ref="E4:H5"/>
    <mergeCell ref="G13:H13"/>
    <mergeCell ref="F6:F7"/>
    <mergeCell ref="G6:H6"/>
    <mergeCell ref="E6:E7"/>
    <mergeCell ref="L5:M5"/>
    <mergeCell ref="O6:O7"/>
    <mergeCell ref="J5:K5"/>
    <mergeCell ref="K6:K7"/>
    <mergeCell ref="Q6:Q7"/>
    <mergeCell ref="G19:H19"/>
    <mergeCell ref="M6:M7"/>
    <mergeCell ref="G16:H16"/>
    <mergeCell ref="P6:P7"/>
  </mergeCells>
  <printOptions/>
  <pageMargins left="0.3937007874015748" right="0.1968503937007874" top="0.6692913385826772" bottom="0.6692913385826772" header="0.4330708661417323" footer="0.8267716535433072"/>
  <pageSetup fitToHeight="3" fitToWidth="1" horizontalDpi="600" verticalDpi="600" orientation="landscape" pageOrder="overThenDown" paperSize="9" scale="54" r:id="rId1"/>
  <headerFooter alignWithMargins="0">
    <oddFooter>&amp;R&amp;P</oddFooter>
  </headerFooter>
  <rowBreaks count="2" manualBreakCount="2">
    <brk id="37" max="18" man="1"/>
    <brk id="6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2014-05-16T07:24:31Z</cp:lastPrinted>
  <dcterms:created xsi:type="dcterms:W3CDTF">2008-03-17T11:03:58Z</dcterms:created>
  <dcterms:modified xsi:type="dcterms:W3CDTF">2014-05-16T10:03:48Z</dcterms:modified>
  <cp:category/>
  <cp:version/>
  <cp:contentType/>
  <cp:contentStatus/>
</cp:coreProperties>
</file>